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energiabmehu-my.sharepoint.com/personal/szucsbotond_energia_bme_hu/Documents/2Ipar/KondiCAD/"/>
    </mc:Choice>
  </mc:AlternateContent>
  <xr:revisionPtr revIDLastSave="106" documentId="11_7DCF8594ED22260D77CBD596BE130E0A4D503965" xr6:coauthVersionLast="47" xr6:coauthVersionMax="47" xr10:uidLastSave="{6C7942DB-9835-4109-BACB-672DAC92F2A9}"/>
  <bookViews>
    <workbookView xWindow="-120" yWindow="-120" windowWidth="29040" windowHeight="15720" firstSheet="1" activeTab="4" xr2:uid="{00000000-000D-0000-FFFF-FFFF00000000}"/>
  </bookViews>
  <sheets>
    <sheet name="Polytechnic 25 MW" sheetId="1" r:id="rId1"/>
    <sheet name="Polytechnic 20 MW" sheetId="2" r:id="rId2"/>
    <sheet name="KPA Unicon 25 MW" sheetId="3" r:id="rId3"/>
    <sheet name="DuroDakovic" sheetId="4" r:id="rId4"/>
    <sheet name="Hőszivattyú" sheetId="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5" l="1"/>
  <c r="B22" i="5"/>
  <c r="K9" i="4" l="1"/>
  <c r="J21" i="4" a="1"/>
  <c r="J21" i="4" s="1"/>
  <c r="J21" i="1" a="1"/>
  <c r="J21" i="1" s="1"/>
  <c r="J21" i="2" a="1"/>
  <c r="J21" i="2" s="1"/>
  <c r="K10" i="4"/>
  <c r="K11" i="4"/>
  <c r="K12" i="4"/>
  <c r="K13" i="4"/>
  <c r="K14" i="4"/>
  <c r="K15" i="4"/>
  <c r="K16" i="4"/>
  <c r="K17" i="4"/>
  <c r="K18" i="4"/>
  <c r="K10" i="1"/>
  <c r="K11" i="1"/>
  <c r="K12" i="1"/>
  <c r="K13" i="1"/>
  <c r="K14" i="1"/>
  <c r="K15" i="1"/>
  <c r="K16" i="1"/>
  <c r="K17" i="1"/>
  <c r="K18" i="1"/>
  <c r="K9" i="1"/>
  <c r="K21" i="2" a="1"/>
  <c r="K21" i="2" s="1"/>
  <c r="K18" i="2"/>
  <c r="K10" i="2"/>
  <c r="K11" i="2"/>
  <c r="K12" i="2"/>
  <c r="K13" i="2"/>
  <c r="K14" i="2"/>
  <c r="K15" i="2"/>
  <c r="K16" i="2"/>
  <c r="K17" i="2"/>
  <c r="B2" i="5"/>
  <c r="B15" i="5" s="1"/>
  <c r="B18" i="5" s="1"/>
  <c r="B19" i="5" s="1"/>
  <c r="B10" i="5"/>
  <c r="B17" i="5"/>
  <c r="H9" i="5"/>
  <c r="I9" i="5" s="1"/>
  <c r="B6" i="5"/>
  <c r="B7" i="5" s="1"/>
  <c r="E21" i="1"/>
  <c r="E21" i="4"/>
  <c r="B16" i="4"/>
  <c r="B10" i="4"/>
  <c r="B13" i="4" s="1"/>
  <c r="B9" i="4"/>
  <c r="H8" i="4"/>
  <c r="I8" i="4" s="1"/>
  <c r="B5" i="4"/>
  <c r="B6" i="4" s="1"/>
  <c r="B2" i="4"/>
  <c r="B14" i="4" s="1"/>
  <c r="B17" i="4" s="1"/>
  <c r="B18" i="4" s="1"/>
  <c r="B22" i="3"/>
  <c r="H8" i="3" s="1"/>
  <c r="E21" i="3"/>
  <c r="B16" i="3"/>
  <c r="B9" i="3"/>
  <c r="B5" i="3"/>
  <c r="B10" i="3" s="1"/>
  <c r="B2" i="3"/>
  <c r="B14" i="3" s="1"/>
  <c r="B17" i="3" s="1"/>
  <c r="B18" i="3" s="1"/>
  <c r="B22" i="2"/>
  <c r="H8" i="2" s="1"/>
  <c r="E21" i="2"/>
  <c r="B16" i="2"/>
  <c r="B9" i="2"/>
  <c r="B5" i="2"/>
  <c r="B6" i="2" s="1"/>
  <c r="B2" i="2"/>
  <c r="B14" i="2" s="1"/>
  <c r="B17" i="2" s="1"/>
  <c r="B18" i="2" s="1"/>
  <c r="B24" i="1"/>
  <c r="B22" i="1"/>
  <c r="H8" i="1" s="1"/>
  <c r="B16" i="1"/>
  <c r="B14" i="1"/>
  <c r="B17" i="1" s="1"/>
  <c r="B18" i="1" s="1"/>
  <c r="B9" i="1"/>
  <c r="B5" i="1"/>
  <c r="B6" i="1" s="1"/>
  <c r="B2" i="1"/>
  <c r="B11" i="5" l="1"/>
  <c r="B14" i="5" s="1"/>
  <c r="J9" i="5"/>
  <c r="B10" i="1"/>
  <c r="B11" i="1" s="1"/>
  <c r="B12" i="1" s="1"/>
  <c r="J8" i="4"/>
  <c r="B11" i="4"/>
  <c r="B13" i="3"/>
  <c r="B11" i="3"/>
  <c r="I8" i="3"/>
  <c r="B6" i="3"/>
  <c r="I8" i="2"/>
  <c r="B10" i="2"/>
  <c r="I8" i="1"/>
  <c r="B19" i="1"/>
  <c r="B13" i="1"/>
  <c r="B12" i="5" l="1"/>
  <c r="B13" i="5" s="1"/>
  <c r="B12" i="4"/>
  <c r="B19" i="4"/>
  <c r="J8" i="3"/>
  <c r="B19" i="3"/>
  <c r="B12" i="3"/>
  <c r="B11" i="2"/>
  <c r="B13" i="2"/>
  <c r="J8" i="2"/>
  <c r="J8" i="1"/>
  <c r="H14" i="1"/>
  <c r="I14" i="1" s="1"/>
  <c r="H11" i="1"/>
  <c r="I11" i="1" s="1"/>
  <c r="H17" i="1"/>
  <c r="I17" i="1" s="1"/>
  <c r="H13" i="1"/>
  <c r="I13" i="1" s="1"/>
  <c r="H12" i="1"/>
  <c r="I12" i="1" s="1"/>
  <c r="H9" i="1"/>
  <c r="B20" i="1"/>
  <c r="H10" i="1"/>
  <c r="I10" i="1" s="1"/>
  <c r="H16" i="1"/>
  <c r="I16" i="1" s="1"/>
  <c r="H18" i="1"/>
  <c r="I18" i="1" s="1"/>
  <c r="H15" i="1"/>
  <c r="I15" i="1" s="1"/>
  <c r="B20" i="5" l="1"/>
  <c r="H15" i="5" s="1"/>
  <c r="I15" i="5" s="1"/>
  <c r="H12" i="4"/>
  <c r="I12" i="4" s="1"/>
  <c r="H9" i="4"/>
  <c r="H18" i="4"/>
  <c r="I18" i="4" s="1"/>
  <c r="H15" i="4"/>
  <c r="I15" i="4" s="1"/>
  <c r="H13" i="4"/>
  <c r="I13" i="4" s="1"/>
  <c r="H10" i="4"/>
  <c r="I10" i="4" s="1"/>
  <c r="H16" i="4"/>
  <c r="I16" i="4" s="1"/>
  <c r="H11" i="4"/>
  <c r="I11" i="4" s="1"/>
  <c r="B20" i="4"/>
  <c r="H14" i="4"/>
  <c r="I14" i="4" s="1"/>
  <c r="H17" i="4"/>
  <c r="I17" i="4" s="1"/>
  <c r="H16" i="3"/>
  <c r="I16" i="3" s="1"/>
  <c r="H14" i="3"/>
  <c r="I14" i="3" s="1"/>
  <c r="H11" i="3"/>
  <c r="I11" i="3" s="1"/>
  <c r="H17" i="3"/>
  <c r="I17" i="3" s="1"/>
  <c r="H12" i="3"/>
  <c r="I12" i="3" s="1"/>
  <c r="H9" i="3"/>
  <c r="H18" i="3"/>
  <c r="I18" i="3" s="1"/>
  <c r="H15" i="3"/>
  <c r="I15" i="3" s="1"/>
  <c r="B20" i="3"/>
  <c r="H13" i="3"/>
  <c r="I13" i="3" s="1"/>
  <c r="H10" i="3"/>
  <c r="I10" i="3" s="1"/>
  <c r="B19" i="2"/>
  <c r="B12" i="2"/>
  <c r="I9" i="1"/>
  <c r="H19" i="1"/>
  <c r="H16" i="5" l="1"/>
  <c r="I16" i="5" s="1"/>
  <c r="H19" i="5"/>
  <c r="I19" i="5" s="1"/>
  <c r="H10" i="5"/>
  <c r="H13" i="5"/>
  <c r="I13" i="5" s="1"/>
  <c r="H18" i="5"/>
  <c r="I18" i="5" s="1"/>
  <c r="H11" i="5"/>
  <c r="I11" i="5" s="1"/>
  <c r="H17" i="5"/>
  <c r="I17" i="5" s="1"/>
  <c r="H14" i="5"/>
  <c r="I14" i="5" s="1"/>
  <c r="H12" i="5"/>
  <c r="I12" i="5" s="1"/>
  <c r="B21" i="5"/>
  <c r="I10" i="5"/>
  <c r="H20" i="5"/>
  <c r="H19" i="4"/>
  <c r="I9" i="4"/>
  <c r="I9" i="3"/>
  <c r="H19" i="3"/>
  <c r="H17" i="2"/>
  <c r="I17" i="2" s="1"/>
  <c r="H12" i="2"/>
  <c r="I12" i="2" s="1"/>
  <c r="H9" i="2"/>
  <c r="H16" i="2"/>
  <c r="I16" i="2" s="1"/>
  <c r="H14" i="2"/>
  <c r="I14" i="2" s="1"/>
  <c r="H11" i="2"/>
  <c r="I11" i="2" s="1"/>
  <c r="H18" i="2"/>
  <c r="I18" i="2" s="1"/>
  <c r="H15" i="2"/>
  <c r="I15" i="2" s="1"/>
  <c r="B20" i="2"/>
  <c r="H13" i="2"/>
  <c r="I13" i="2" s="1"/>
  <c r="H10" i="2"/>
  <c r="I10" i="2" s="1"/>
  <c r="J9" i="1"/>
  <c r="J10" i="1" s="1"/>
  <c r="J11" i="1" s="1"/>
  <c r="J12" i="1" s="1"/>
  <c r="J13" i="1" s="1"/>
  <c r="J14" i="1" s="1"/>
  <c r="J15" i="1" s="1"/>
  <c r="J16" i="1" s="1"/>
  <c r="J17" i="1" s="1"/>
  <c r="J18" i="1" s="1"/>
  <c r="I20" i="1"/>
  <c r="J10" i="5" l="1"/>
  <c r="I21" i="5"/>
  <c r="J9" i="4"/>
  <c r="J10" i="4" s="1"/>
  <c r="J11" i="4" s="1"/>
  <c r="J12" i="4" s="1"/>
  <c r="J13" i="4" s="1"/>
  <c r="J14" i="4" s="1"/>
  <c r="J15" i="4" s="1"/>
  <c r="J16" i="4" s="1"/>
  <c r="J17" i="4" s="1"/>
  <c r="J18" i="4" s="1"/>
  <c r="I20" i="4"/>
  <c r="J9" i="3"/>
  <c r="I20" i="3"/>
  <c r="I9" i="2"/>
  <c r="H19" i="2"/>
  <c r="K10" i="5" l="1"/>
  <c r="J11" i="5"/>
  <c r="K11" i="5" s="1"/>
  <c r="J10" i="3"/>
  <c r="K9" i="3"/>
  <c r="J9" i="2"/>
  <c r="J10" i="2" s="1"/>
  <c r="J11" i="2" s="1"/>
  <c r="J12" i="2" s="1"/>
  <c r="J13" i="2" s="1"/>
  <c r="J14" i="2" s="1"/>
  <c r="J15" i="2" s="1"/>
  <c r="J16" i="2" s="1"/>
  <c r="J17" i="2" s="1"/>
  <c r="J18" i="2" s="1"/>
  <c r="I20" i="2"/>
  <c r="J12" i="5" l="1"/>
  <c r="J11" i="3"/>
  <c r="K10" i="3"/>
  <c r="K12" i="5" l="1"/>
  <c r="J13" i="5"/>
  <c r="K13" i="5" s="1"/>
  <c r="J12" i="3"/>
  <c r="K11" i="3"/>
  <c r="J14" i="5" l="1"/>
  <c r="J13" i="3"/>
  <c r="K12" i="3"/>
  <c r="K14" i="5" l="1"/>
  <c r="J15" i="5"/>
  <c r="K15" i="5" s="1"/>
  <c r="J14" i="3"/>
  <c r="K13" i="3"/>
  <c r="J16" i="5" l="1"/>
  <c r="K16" i="5" s="1"/>
  <c r="J15" i="3"/>
  <c r="K14" i="3"/>
  <c r="J17" i="5" l="1"/>
  <c r="K17" i="5" s="1"/>
  <c r="J16" i="3"/>
  <c r="K15" i="3"/>
  <c r="J18" i="5" l="1"/>
  <c r="K18" i="5" s="1"/>
  <c r="J17" i="3"/>
  <c r="K16" i="3"/>
  <c r="J19" i="5" l="1"/>
  <c r="J18" i="3"/>
  <c r="K17" i="3"/>
  <c r="K19" i="5" l="1"/>
  <c r="J22" i="5" a="1"/>
  <c r="J22" i="5" s="1"/>
  <c r="K18" i="3"/>
  <c r="J21" i="3" a="1"/>
  <c r="J2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<sst xmlns="http://schemas.openxmlformats.org/spreadsheetml/2006/main" count="278" uniqueCount="58">
  <si>
    <t>Érték</t>
  </si>
  <si>
    <t>Mértékegység</t>
  </si>
  <si>
    <t>Megjegyzés</t>
  </si>
  <si>
    <t>Tüzelési teljesítmény</t>
  </si>
  <si>
    <t>MW</t>
  </si>
  <si>
    <t>85%-os kazánhatásfokot feltételezve</t>
  </si>
  <si>
    <t>Beépített teljesítmény</t>
  </si>
  <si>
    <t>HUF/EUR</t>
  </si>
  <si>
    <t>Csúcskihasználás</t>
  </si>
  <si>
    <t>h</t>
  </si>
  <si>
    <t>2022. évi adatok alapján becsülve</t>
  </si>
  <si>
    <t>Kamat</t>
  </si>
  <si>
    <t>Termelés</t>
  </si>
  <si>
    <t>MWh</t>
  </si>
  <si>
    <t>GJ</t>
  </si>
  <si>
    <t>25 MW biomassza kazán</t>
  </si>
  <si>
    <t>Referencia földgáz ár</t>
  </si>
  <si>
    <t>EUR/MWh</t>
  </si>
  <si>
    <t>C</t>
  </si>
  <si>
    <t>PV_C</t>
  </si>
  <si>
    <t>Szén-dioxid ár</t>
  </si>
  <si>
    <t>EUR/t</t>
  </si>
  <si>
    <t>EEX EUA DEC/2024</t>
  </si>
  <si>
    <t>Földgáz+CO2</t>
  </si>
  <si>
    <t>0.201 tCO2/MWh</t>
  </si>
  <si>
    <t>Földgáz tüzelőhő</t>
  </si>
  <si>
    <t>90%-os kazánhatásfokot feltételezve</t>
  </si>
  <si>
    <t>Évenkénti gázköltség</t>
  </si>
  <si>
    <t>EUR</t>
  </si>
  <si>
    <t>HUF</t>
  </si>
  <si>
    <t>Megtakarított CO2</t>
  </si>
  <si>
    <t>t</t>
  </si>
  <si>
    <t>Biomassza tüzelőhő</t>
  </si>
  <si>
    <t>Biomassza hő ár</t>
  </si>
  <si>
    <t>100 EUR/t (Lutro)</t>
  </si>
  <si>
    <t>Ft/GJ</t>
  </si>
  <si>
    <t>Évenkénti biomassza költség</t>
  </si>
  <si>
    <t>Évenkénti megtakarítás</t>
  </si>
  <si>
    <t>IRR</t>
  </si>
  <si>
    <t>NPV</t>
  </si>
  <si>
    <t>Főtechnológia</t>
  </si>
  <si>
    <t>fajlagosan 306 EUR/kW</t>
  </si>
  <si>
    <t>Dinamikus megtérülés</t>
  </si>
  <si>
    <t>Kiszolgáló és segéd létesítmények</t>
  </si>
  <si>
    <t>becsült érték a főtechnológia 200%-a</t>
  </si>
  <si>
    <t>Megnevezés:</t>
  </si>
  <si>
    <t>fajlagosan 310 EUR/kW</t>
  </si>
  <si>
    <t>fajlagosan 928 EUR/kW</t>
  </si>
  <si>
    <t>Villamosenergia ár</t>
  </si>
  <si>
    <t>Villamos energia</t>
  </si>
  <si>
    <t>Villamos energiaár (energia+RHD)</t>
  </si>
  <si>
    <t>Évenkénti villamosenergia költség</t>
  </si>
  <si>
    <t>Éves átlagos hatássosság (SPF)</t>
  </si>
  <si>
    <t>-</t>
  </si>
  <si>
    <t>távhővezeték</t>
  </si>
  <si>
    <t>fajlagosan 2100 EUR/kW</t>
  </si>
  <si>
    <t>Villamos teljesítmény</t>
  </si>
  <si>
    <t>Beépített hő teljesítmény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</si>
</sst>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_F_t_-;\-* #,##0\ _F_t_-;_-* &quot;-&quot;\ _F_t_-;_-@_-"/>
    <numFmt numFmtId="165" formatCode="_-* #,##0\ [$EUR]_-;\-* #,##0\ [$EUR]_-;_-* &quot;-&quot;\ [$EUR]_-;_-@_-"/>
    <numFmt numFmtId="166" formatCode="#,##0\ _F_t"/>
    <numFmt numFmtId="167" formatCode="_-* #,##0.00\ _F_t_-;\-* #,##0.00\ _F_t_-;_-* &quot;-&quot;??\ _F_t_-;_-@_-"/>
    <numFmt numFmtId="168" formatCode="0.00&quot; év&quot;"/>
  </numFmts>
  <fonts count="6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9" fontId="1" fillId="0" borderId="0" xfId="0" applyNumberFormat="1" applyFont="1"/>
    <xf numFmtId="164" fontId="1" fillId="0" borderId="0" xfId="0" applyNumberFormat="1" applyFont="1"/>
    <xf numFmtId="0" fontId="1" fillId="0" borderId="4" xfId="0" applyFont="1" applyBorder="1"/>
    <xf numFmtId="165" fontId="1" fillId="0" borderId="4" xfId="0" applyNumberFormat="1" applyFont="1" applyBorder="1"/>
    <xf numFmtId="166" fontId="1" fillId="0" borderId="4" xfId="0" applyNumberFormat="1" applyFont="1" applyBorder="1"/>
    <xf numFmtId="0" fontId="1" fillId="0" borderId="1" xfId="0" applyFont="1" applyBorder="1"/>
    <xf numFmtId="9" fontId="1" fillId="0" borderId="2" xfId="0" applyNumberFormat="1" applyFont="1" applyBorder="1"/>
    <xf numFmtId="165" fontId="1" fillId="0" borderId="2" xfId="0" applyNumberFormat="1" applyFont="1" applyBorder="1"/>
    <xf numFmtId="166" fontId="1" fillId="0" borderId="3" xfId="0" applyNumberFormat="1" applyFont="1" applyBorder="1"/>
    <xf numFmtId="0" fontId="1" fillId="0" borderId="2" xfId="0" applyFont="1" applyBorder="1"/>
    <xf numFmtId="168" fontId="1" fillId="0" borderId="3" xfId="0" applyNumberFormat="1" applyFont="1" applyBorder="1"/>
    <xf numFmtId="2" fontId="1" fillId="0" borderId="4" xfId="0" applyNumberFormat="1" applyFont="1" applyBorder="1" applyAlignment="1">
      <alignment horizontal="center" vertical="center" wrapText="1"/>
    </xf>
    <xf numFmtId="2" fontId="1" fillId="0" borderId="4" xfId="0" applyNumberFormat="1" applyFont="1" applyBorder="1"/>
    <xf numFmtId="164" fontId="1" fillId="2" borderId="4" xfId="0" applyNumberFormat="1" applyFont="1" applyFill="1" applyBorder="1"/>
    <xf numFmtId="0" fontId="1" fillId="0" borderId="4" xfId="0" applyFont="1" applyBorder="1" applyAlignment="1">
      <alignment horizontal="left" vertical="center"/>
    </xf>
    <xf numFmtId="164" fontId="1" fillId="0" borderId="4" xfId="0" applyNumberFormat="1" applyFont="1" applyBorder="1"/>
    <xf numFmtId="165" fontId="1" fillId="0" borderId="4" xfId="0" applyNumberFormat="1" applyFont="1" applyBorder="1" applyAlignment="1">
      <alignment horizontal="left"/>
    </xf>
    <xf numFmtId="0" fontId="1" fillId="2" borderId="4" xfId="0" applyFont="1" applyFill="1" applyBorder="1"/>
    <xf numFmtId="1" fontId="1" fillId="3" borderId="4" xfId="0" applyNumberFormat="1" applyFont="1" applyFill="1" applyBorder="1"/>
    <xf numFmtId="167" fontId="1" fillId="0" borderId="4" xfId="0" applyNumberFormat="1" applyFont="1" applyBorder="1"/>
    <xf numFmtId="164" fontId="2" fillId="0" borderId="4" xfId="0" applyNumberFormat="1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40" fontId="1" fillId="0" borderId="3" xfId="0" applyNumberFormat="1" applyFont="1" applyBorder="1"/>
    <xf numFmtId="2" fontId="1" fillId="0" borderId="4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/>
    </xf>
    <xf numFmtId="2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7" xfId="0" applyFont="1" applyBorder="1"/>
    <xf numFmtId="164" fontId="1" fillId="0" borderId="7" xfId="0" applyNumberFormat="1" applyFont="1" applyBorder="1"/>
    <xf numFmtId="2" fontId="1" fillId="0" borderId="4" xfId="0" applyNumberFormat="1" applyFont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  <xf numFmtId="164" fontId="1" fillId="0" borderId="4" xfId="0" applyNumberFormat="1" applyFont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1" fontId="1" fillId="3" borderId="4" xfId="0" applyNumberFormat="1" applyFont="1" applyFill="1" applyBorder="1" applyAlignment="1">
      <alignment horizontal="left"/>
    </xf>
    <xf numFmtId="167" fontId="1" fillId="0" borderId="4" xfId="0" applyNumberFormat="1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2" fontId="0" fillId="0" borderId="0" xfId="0" applyNumberFormat="1"/>
    <xf numFmtId="164" fontId="4" fillId="0" borderId="4" xfId="0" applyNumberFormat="1" applyFont="1" applyBorder="1"/>
    <xf numFmtId="0" fontId="5" fillId="0" borderId="4" xfId="0" applyFont="1" applyBorder="1"/>
    <xf numFmtId="2" fontId="1" fillId="0" borderId="4" xfId="0" applyNumberFormat="1" applyFont="1" applyBorder="1" applyAlignment="1">
      <alignment horizontal="left" wrapText="1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2" fontId="1" fillId="0" borderId="4" xfId="0" applyNumberFormat="1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214434441197332"/>
          <c:y val="4.53455061733977E-2"/>
          <c:w val="0.76848943199903941"/>
          <c:h val="0.90036257804263242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2"/>
            <c:spPr>
              <a:solidFill>
                <a:schemeClr val="accent1"/>
              </a:solidFill>
              <a:ln w="63500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u-HU"/>
                </a:p>
              </c:txPr>
            </c:trendlineLbl>
          </c:trendline>
          <c:yVal>
            <c:numRef>
              <c:f>'Polytechnic 25 MW'!$J$8:$J$18</c:f>
              <c:numCache>
                <c:formatCode>#\ ##0\ _F_t</c:formatCode>
                <c:ptCount val="11"/>
                <c:pt idx="0">
                  <c:v>-22950000</c:v>
                </c:pt>
                <c:pt idx="1">
                  <c:v>-19631336.437908497</c:v>
                </c:pt>
                <c:pt idx="2">
                  <c:v>-16470704.474011827</c:v>
                </c:pt>
                <c:pt idx="3">
                  <c:v>-13460578.794110239</c:v>
                </c:pt>
                <c:pt idx="4">
                  <c:v>-10593792.4322992</c:v>
                </c:pt>
                <c:pt idx="5">
                  <c:v>-7863519.7067648787</c:v>
                </c:pt>
                <c:pt idx="6">
                  <c:v>-5263259.9681607634</c:v>
                </c:pt>
                <c:pt idx="7">
                  <c:v>-2786822.1218711296</c:v>
                </c:pt>
                <c:pt idx="8">
                  <c:v>-428309.88730957359</c:v>
                </c:pt>
                <c:pt idx="9">
                  <c:v>1817892.2408442893</c:v>
                </c:pt>
                <c:pt idx="10">
                  <c:v>3957132.3628955875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B79-49DA-828A-44FFB7784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8556111"/>
        <c:axId val="1158553615"/>
      </c:scatterChart>
      <c:valAx>
        <c:axId val="1158556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/>
                  <a:t>Évek száma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3615"/>
        <c:crosses val="autoZero"/>
        <c:crossBetween val="midCat"/>
        <c:majorUnit val="1"/>
      </c:valAx>
      <c:valAx>
        <c:axId val="115855361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/>
                  <a:t>Megtérülés, 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6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170227090153701"/>
          <c:y val="4.53455061733977E-2"/>
          <c:w val="0.75914685475268795"/>
          <c:h val="0.77210871289154714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25400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yVal>
            <c:numRef>
              <c:f>'Polytechnic 20 MW'!$J$8:$J$18</c:f>
              <c:numCache>
                <c:formatCode>#\ ##0\ _F_t</c:formatCode>
                <c:ptCount val="11"/>
                <c:pt idx="0">
                  <c:v>-18600000</c:v>
                </c:pt>
                <c:pt idx="1">
                  <c:v>-15772852.038593216</c:v>
                </c:pt>
                <c:pt idx="2">
                  <c:v>-13080330.170586754</c:v>
                </c:pt>
                <c:pt idx="3">
                  <c:v>-10516023.629628219</c:v>
                </c:pt>
                <c:pt idx="4">
                  <c:v>-8073826.9239534233</c:v>
                </c:pt>
                <c:pt idx="5">
                  <c:v>-5747925.2995012375</c:v>
                </c:pt>
                <c:pt idx="6">
                  <c:v>-3532780.8952610604</c:v>
                </c:pt>
                <c:pt idx="7">
                  <c:v>-1423119.5578894634</c:v>
                </c:pt>
                <c:pt idx="8">
                  <c:v>586081.71579777193</c:v>
                </c:pt>
                <c:pt idx="9">
                  <c:v>2499606.7383570438</c:v>
                </c:pt>
                <c:pt idx="10">
                  <c:v>4322011.5217468264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45C-4C4B-945F-C38F8100B4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8556111"/>
        <c:axId val="1158553615"/>
      </c:scatterChart>
      <c:valAx>
        <c:axId val="1158556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/>
                  <a:t>Évek</a:t>
                </a:r>
                <a:r>
                  <a:rPr lang="hu-HU" baseline="0"/>
                  <a:t> száma</a:t>
                </a:r>
                <a:endParaRPr lang="hu-HU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3615"/>
        <c:crosses val="autoZero"/>
        <c:crossBetween val="midCat"/>
        <c:majorUnit val="1"/>
      </c:valAx>
      <c:valAx>
        <c:axId val="115855361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 sz="1600"/>
                  <a:t>Megtérülés, 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6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432602080828937"/>
          <c:y val="4.53455061733977E-2"/>
          <c:w val="0.80626483647203795"/>
          <c:h val="0.8646689116042981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25400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'[1]KPA Unicon 25 MW'!$G$8:$G$18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'KPA Unicon 25 MW'!$J$8:$J$18</c:f>
              <c:numCache>
                <c:formatCode>#\ ##0\ _F_t</c:formatCode>
                <c:ptCount val="11"/>
                <c:pt idx="0">
                  <c:v>-26970000</c:v>
                </c:pt>
                <c:pt idx="1">
                  <c:v>-23651336.437908497</c:v>
                </c:pt>
                <c:pt idx="2">
                  <c:v>-20490704.474011827</c:v>
                </c:pt>
                <c:pt idx="3">
                  <c:v>-17480578.794110239</c:v>
                </c:pt>
                <c:pt idx="4">
                  <c:v>-14613792.4322992</c:v>
                </c:pt>
                <c:pt idx="5">
                  <c:v>-11883519.706764879</c:v>
                </c:pt>
                <c:pt idx="6">
                  <c:v>-9283259.9681607634</c:v>
                </c:pt>
                <c:pt idx="7">
                  <c:v>-6806822.1218711296</c:v>
                </c:pt>
                <c:pt idx="8">
                  <c:v>-4448309.8873095736</c:v>
                </c:pt>
                <c:pt idx="9">
                  <c:v>-2202107.7591557107</c:v>
                </c:pt>
                <c:pt idx="10">
                  <c:v>-62867.637104412541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BA-4F24-A6FA-99548D21C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8556111"/>
        <c:axId val="1158553615"/>
      </c:scatterChart>
      <c:valAx>
        <c:axId val="115855611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3615"/>
        <c:crosses val="autoZero"/>
        <c:crossBetween val="midCat"/>
        <c:majorUnit val="1"/>
      </c:valAx>
      <c:valAx>
        <c:axId val="1158553615"/>
        <c:scaling>
          <c:orientation val="minMax"/>
        </c:scaling>
        <c:delete val="0"/>
        <c:axPos val="l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6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432602080828937"/>
          <c:y val="4.53455061733977E-2"/>
          <c:w val="0.80626483647203795"/>
          <c:h val="0.8646689116042981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25400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yVal>
            <c:numRef>
              <c:f>DuroDakovic!$J$8:$J$18</c:f>
              <c:numCache>
                <c:formatCode>#\ ##0\ _F_t</c:formatCode>
                <c:ptCount val="11"/>
                <c:pt idx="0">
                  <c:v>-23200000</c:v>
                </c:pt>
                <c:pt idx="1">
                  <c:v>-19881336.437908497</c:v>
                </c:pt>
                <c:pt idx="2">
                  <c:v>-16720704.474011827</c:v>
                </c:pt>
                <c:pt idx="3">
                  <c:v>-13710578.794110239</c:v>
                </c:pt>
                <c:pt idx="4">
                  <c:v>-10843792.4322992</c:v>
                </c:pt>
                <c:pt idx="5">
                  <c:v>-8113519.7067648787</c:v>
                </c:pt>
                <c:pt idx="6">
                  <c:v>-5513259.9681607634</c:v>
                </c:pt>
                <c:pt idx="7">
                  <c:v>-3036822.1218711296</c:v>
                </c:pt>
                <c:pt idx="8">
                  <c:v>-678309.88730957359</c:v>
                </c:pt>
                <c:pt idx="9">
                  <c:v>1567892.2408442893</c:v>
                </c:pt>
                <c:pt idx="10">
                  <c:v>3707132.3628955875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103-4CE0-AC57-194BFFFF2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8556111"/>
        <c:axId val="1158553615"/>
      </c:scatterChart>
      <c:valAx>
        <c:axId val="1158556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 sz="1400"/>
                  <a:t>Évek</a:t>
                </a:r>
                <a:r>
                  <a:rPr lang="hu-HU" sz="1400" baseline="0"/>
                  <a:t> száma</a:t>
                </a:r>
                <a:endParaRPr lang="hu-HU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3615"/>
        <c:crosses val="autoZero"/>
        <c:crossBetween val="midCat"/>
        <c:majorUnit val="1"/>
      </c:valAx>
      <c:valAx>
        <c:axId val="115855361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 sz="1400"/>
                  <a:t>Megtérülés, 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6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432602080828937"/>
          <c:y val="4.53455061733977E-2"/>
          <c:w val="0.80626483647203795"/>
          <c:h val="0.8646689116042981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25400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'[1]Duro Dakovic'!$G$8:$G$18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Hőszivattyú!$J$9:$J$19</c:f>
              <c:numCache>
                <c:formatCode>#\ ##0\ _F_t</c:formatCode>
                <c:ptCount val="11"/>
                <c:pt idx="0">
                  <c:v>-31250000</c:v>
                </c:pt>
                <c:pt idx="1">
                  <c:v>-27799907.28715729</c:v>
                </c:pt>
                <c:pt idx="2">
                  <c:v>-24514104.703497563</c:v>
                </c:pt>
                <c:pt idx="3">
                  <c:v>-21384768.909535918</c:v>
                </c:pt>
                <c:pt idx="4">
                  <c:v>-18404449.105762925</c:v>
                </c:pt>
                <c:pt idx="5">
                  <c:v>-15566049.292645788</c:v>
                </c:pt>
                <c:pt idx="6">
                  <c:v>-12862811.375391372</c:v>
                </c:pt>
                <c:pt idx="7">
                  <c:v>-10288299.073244309</c:v>
                </c:pt>
                <c:pt idx="8">
                  <c:v>-7836382.5950090103</c:v>
                </c:pt>
                <c:pt idx="9">
                  <c:v>-5501224.0443087267</c:v>
                </c:pt>
                <c:pt idx="10">
                  <c:v>-3277263.519832266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12-4449-88AB-A4AC4B8639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8556111"/>
        <c:axId val="1158553615"/>
      </c:scatterChart>
      <c:valAx>
        <c:axId val="1158556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 sz="1400"/>
                  <a:t>Évek</a:t>
                </a:r>
                <a:r>
                  <a:rPr lang="hu-HU" sz="1400" baseline="0"/>
                  <a:t> száma</a:t>
                </a:r>
                <a:endParaRPr lang="hu-HU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3615"/>
        <c:crosses val="autoZero"/>
        <c:crossBetween val="midCat"/>
        <c:majorUnit val="1"/>
      </c:valAx>
      <c:valAx>
        <c:axId val="115855361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u-HU" sz="1400"/>
                  <a:t>Megtérülés, 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hu-HU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158556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4331</xdr:colOff>
      <xdr:row>25</xdr:row>
      <xdr:rowOff>195697</xdr:rowOff>
    </xdr:from>
    <xdr:to>
      <xdr:col>4</xdr:col>
      <xdr:colOff>1657350</xdr:colOff>
      <xdr:row>41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718704</xdr:colOff>
      <xdr:row>25</xdr:row>
      <xdr:rowOff>109970</xdr:rowOff>
    </xdr:from>
    <xdr:to>
      <xdr:col>9</xdr:col>
      <xdr:colOff>419101</xdr:colOff>
      <xdr:row>39</xdr:row>
      <xdr:rowOff>57149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2252229</xdr:colOff>
      <xdr:row>25</xdr:row>
      <xdr:rowOff>195696</xdr:rowOff>
    </xdr:from>
    <xdr:to>
      <xdr:col>4</xdr:col>
      <xdr:colOff>537882</xdr:colOff>
      <xdr:row>38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4330</xdr:colOff>
      <xdr:row>25</xdr:row>
      <xdr:rowOff>195696</xdr:rowOff>
    </xdr:from>
    <xdr:to>
      <xdr:col>6</xdr:col>
      <xdr:colOff>342900</xdr:colOff>
      <xdr:row>37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4330</xdr:colOff>
      <xdr:row>26</xdr:row>
      <xdr:rowOff>195696</xdr:rowOff>
    </xdr:from>
    <xdr:to>
      <xdr:col>6</xdr:col>
      <xdr:colOff>342900</xdr:colOff>
      <xdr:row>38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otond\OneDrive%20-%20energia.bme.hu\2Ipar\KondiCAD\Biomassza%20f&#369;t&#337;m&#369;%20megt&#233;r&#252;l&#233;s_re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lytechnic 25 MW"/>
      <sheetName val="Polytechnic 20 MW"/>
      <sheetName val="KPA Unicon 25 MW"/>
      <sheetName val="Duro Dakovic"/>
    </sheetNames>
    <sheetDataSet>
      <sheetData sheetId="0">
        <row r="8">
          <cell r="G8">
            <v>0</v>
          </cell>
        </row>
      </sheetData>
      <sheetData sheetId="1">
        <row r="8">
          <cell r="G8">
            <v>0</v>
          </cell>
        </row>
      </sheetData>
      <sheetData sheetId="2">
        <row r="8">
          <cell r="G8">
            <v>0</v>
          </cell>
        </row>
        <row r="9">
          <cell r="G9">
            <v>1</v>
          </cell>
        </row>
        <row r="10">
          <cell r="G10">
            <v>2</v>
          </cell>
        </row>
        <row r="11">
          <cell r="G11">
            <v>3</v>
          </cell>
        </row>
        <row r="12">
          <cell r="G12">
            <v>4</v>
          </cell>
        </row>
        <row r="13">
          <cell r="G13">
            <v>5</v>
          </cell>
        </row>
        <row r="14">
          <cell r="G14">
            <v>6</v>
          </cell>
        </row>
        <row r="15">
          <cell r="G15">
            <v>7</v>
          </cell>
        </row>
        <row r="16">
          <cell r="G16">
            <v>8</v>
          </cell>
        </row>
        <row r="17">
          <cell r="G17">
            <v>9</v>
          </cell>
        </row>
        <row r="18">
          <cell r="G18">
            <v>10</v>
          </cell>
        </row>
      </sheetData>
      <sheetData sheetId="3">
        <row r="8">
          <cell r="G8">
            <v>0</v>
          </cell>
        </row>
        <row r="9">
          <cell r="G9">
            <v>1</v>
          </cell>
        </row>
        <row r="10">
          <cell r="G10">
            <v>2</v>
          </cell>
        </row>
        <row r="11">
          <cell r="G11">
            <v>3</v>
          </cell>
        </row>
        <row r="12">
          <cell r="G12">
            <v>4</v>
          </cell>
        </row>
        <row r="13">
          <cell r="G13">
            <v>5</v>
          </cell>
        </row>
        <row r="14">
          <cell r="G14">
            <v>6</v>
          </cell>
        </row>
        <row r="15">
          <cell r="G15">
            <v>7</v>
          </cell>
        </row>
        <row r="16">
          <cell r="G16">
            <v>8</v>
          </cell>
        </row>
        <row r="17">
          <cell r="G17">
            <v>9</v>
          </cell>
        </row>
        <row r="18">
          <cell r="G18">
            <v>10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opLeftCell="A18" workbookViewId="0">
      <selection activeCell="J22" sqref="J22"/>
    </sheetView>
  </sheetViews>
  <sheetFormatPr defaultRowHeight="15.75" x14ac:dyDescent="0.25"/>
  <cols>
    <col min="1" max="1" width="29.125" bestFit="1" customWidth="1"/>
    <col min="2" max="2" width="15.75" bestFit="1" customWidth="1"/>
    <col min="3" max="3" width="9.375" bestFit="1" customWidth="1"/>
    <col min="4" max="4" width="31.625" bestFit="1" customWidth="1"/>
    <col min="8" max="9" width="15.125" bestFit="1" customWidth="1"/>
    <col min="10" max="10" width="12.5" bestFit="1" customWidth="1"/>
  </cols>
  <sheetData>
    <row r="1" spans="1:11" ht="31.5" x14ac:dyDescent="0.25">
      <c r="A1" s="13"/>
      <c r="B1" s="13" t="s">
        <v>0</v>
      </c>
      <c r="C1" s="13" t="s">
        <v>1</v>
      </c>
      <c r="D1" s="13" t="s">
        <v>2</v>
      </c>
      <c r="E1" s="1"/>
      <c r="F1" s="1"/>
      <c r="G1" s="1"/>
      <c r="H1" s="1"/>
      <c r="I1" s="1"/>
      <c r="J1" s="1"/>
    </row>
    <row r="2" spans="1:11" x14ac:dyDescent="0.25">
      <c r="A2" s="27" t="s">
        <v>3</v>
      </c>
      <c r="B2" s="14">
        <f>B3/0.85</f>
        <v>29.411764705882355</v>
      </c>
      <c r="C2" s="4" t="s">
        <v>4</v>
      </c>
      <c r="D2" s="4" t="s">
        <v>5</v>
      </c>
      <c r="E2" s="1"/>
      <c r="F2" s="1"/>
      <c r="G2" s="1"/>
      <c r="H2" s="1"/>
      <c r="I2" s="1"/>
      <c r="J2" s="1"/>
    </row>
    <row r="3" spans="1:11" x14ac:dyDescent="0.25">
      <c r="A3" s="27" t="s">
        <v>6</v>
      </c>
      <c r="B3" s="4">
        <v>25</v>
      </c>
      <c r="C3" s="4" t="s">
        <v>4</v>
      </c>
      <c r="D3" s="4"/>
      <c r="E3" s="1"/>
      <c r="F3" s="1" t="s">
        <v>7</v>
      </c>
      <c r="G3" s="1">
        <v>400</v>
      </c>
      <c r="H3" s="1"/>
      <c r="I3" s="1"/>
      <c r="J3" s="1"/>
    </row>
    <row r="4" spans="1:11" x14ac:dyDescent="0.25">
      <c r="A4" s="27" t="s">
        <v>8</v>
      </c>
      <c r="B4" s="15">
        <v>2667</v>
      </c>
      <c r="C4" s="4" t="s">
        <v>9</v>
      </c>
      <c r="D4" s="4" t="s">
        <v>10</v>
      </c>
      <c r="E4" s="1"/>
      <c r="F4" s="1" t="s">
        <v>11</v>
      </c>
      <c r="G4" s="2">
        <v>0.05</v>
      </c>
      <c r="H4" s="1"/>
      <c r="I4" s="1"/>
      <c r="J4" s="1"/>
    </row>
    <row r="5" spans="1:11" x14ac:dyDescent="0.25">
      <c r="A5" s="44" t="s">
        <v>12</v>
      </c>
      <c r="B5" s="17">
        <f>B3*B4</f>
        <v>66675</v>
      </c>
      <c r="C5" s="4" t="s">
        <v>13</v>
      </c>
      <c r="D5" s="4"/>
      <c r="E5" s="1"/>
      <c r="F5" s="1"/>
      <c r="G5" s="1"/>
      <c r="H5" s="1"/>
      <c r="I5" s="1"/>
      <c r="J5" s="1"/>
    </row>
    <row r="6" spans="1:11" x14ac:dyDescent="0.25">
      <c r="A6" s="44"/>
      <c r="B6" s="17">
        <f>B5*3.6</f>
        <v>240030</v>
      </c>
      <c r="C6" s="4" t="s">
        <v>14</v>
      </c>
      <c r="D6" s="4"/>
      <c r="E6" s="1"/>
      <c r="F6" s="1"/>
      <c r="G6" s="45" t="s">
        <v>15</v>
      </c>
      <c r="H6" s="46"/>
      <c r="I6" s="46"/>
      <c r="J6" s="47"/>
    </row>
    <row r="7" spans="1:11" x14ac:dyDescent="0.25">
      <c r="A7" s="27" t="s">
        <v>16</v>
      </c>
      <c r="B7" s="15">
        <v>65</v>
      </c>
      <c r="C7" s="4" t="s">
        <v>17</v>
      </c>
      <c r="D7" s="4"/>
      <c r="E7" s="1"/>
      <c r="F7" s="1"/>
      <c r="G7" s="4"/>
      <c r="H7" s="4" t="s">
        <v>18</v>
      </c>
      <c r="I7" s="4" t="s">
        <v>19</v>
      </c>
      <c r="J7" s="4"/>
    </row>
    <row r="8" spans="1:11" x14ac:dyDescent="0.25">
      <c r="A8" s="27" t="s">
        <v>20</v>
      </c>
      <c r="B8" s="15">
        <v>95</v>
      </c>
      <c r="C8" s="4" t="s">
        <v>21</v>
      </c>
      <c r="D8" s="4" t="s">
        <v>22</v>
      </c>
      <c r="E8" s="1"/>
      <c r="F8" s="1"/>
      <c r="G8" s="4">
        <v>0</v>
      </c>
      <c r="H8" s="5">
        <f>(B21+B22)*-1</f>
        <v>-22950000</v>
      </c>
      <c r="I8" s="5">
        <f>H8/(1+$G$4)^G8</f>
        <v>-22950000</v>
      </c>
      <c r="J8" s="6">
        <f>I8</f>
        <v>-22950000</v>
      </c>
    </row>
    <row r="9" spans="1:11" x14ac:dyDescent="0.25">
      <c r="A9" s="27" t="s">
        <v>23</v>
      </c>
      <c r="B9" s="17">
        <f>B7+0.201*B8</f>
        <v>84.094999999999999</v>
      </c>
      <c r="C9" s="4" t="s">
        <v>17</v>
      </c>
      <c r="D9" s="4" t="s">
        <v>24</v>
      </c>
      <c r="E9" s="1"/>
      <c r="F9" s="1"/>
      <c r="G9" s="4">
        <v>1</v>
      </c>
      <c r="H9" s="5">
        <f t="shared" ref="H9:H18" si="0">$B$19</f>
        <v>3484596.7401960776</v>
      </c>
      <c r="I9" s="5">
        <f>H9/(1+$G$4)^G9</f>
        <v>3318663.5620915024</v>
      </c>
      <c r="J9" s="6">
        <f>I9+J8</f>
        <v>-19631336.437908497</v>
      </c>
      <c r="K9" t="str">
        <f>IF(J9&lt;0,"-",ABS(J8/I9))</f>
        <v>-</v>
      </c>
    </row>
    <row r="10" spans="1:11" x14ac:dyDescent="0.25">
      <c r="A10" s="27" t="s">
        <v>25</v>
      </c>
      <c r="B10" s="17">
        <f>B5/0.9</f>
        <v>74083.333333333328</v>
      </c>
      <c r="C10" s="4" t="s">
        <v>13</v>
      </c>
      <c r="D10" s="4" t="s">
        <v>26</v>
      </c>
      <c r="E10" s="1"/>
      <c r="F10" s="1"/>
      <c r="G10" s="4">
        <v>2</v>
      </c>
      <c r="H10" s="5">
        <f t="shared" si="0"/>
        <v>3484596.7401960776</v>
      </c>
      <c r="I10" s="5">
        <f t="shared" ref="I10:I18" si="1">H10/(1+$G$4)^G10</f>
        <v>3160631.963896669</v>
      </c>
      <c r="J10" s="6">
        <f>I10+J9</f>
        <v>-16470704.474011827</v>
      </c>
      <c r="K10" t="str">
        <f t="shared" ref="K10:K18" si="2">IF(J10&lt;0,"-",ABS(J9/I10))</f>
        <v>-</v>
      </c>
    </row>
    <row r="11" spans="1:11" x14ac:dyDescent="0.25">
      <c r="A11" s="44" t="s">
        <v>27</v>
      </c>
      <c r="B11" s="17">
        <f>B10*B9</f>
        <v>6230037.916666666</v>
      </c>
      <c r="C11" s="4" t="s">
        <v>28</v>
      </c>
      <c r="D11" s="4"/>
      <c r="E11" s="1"/>
      <c r="F11" s="1"/>
      <c r="G11" s="4">
        <v>3</v>
      </c>
      <c r="H11" s="5">
        <f t="shared" si="0"/>
        <v>3484596.7401960776</v>
      </c>
      <c r="I11" s="5">
        <f t="shared" si="1"/>
        <v>3010125.6799015892</v>
      </c>
      <c r="J11" s="6">
        <f t="shared" ref="J11:J18" si="3">I11+J10</f>
        <v>-13460578.794110239</v>
      </c>
      <c r="K11" t="str">
        <f t="shared" si="2"/>
        <v>-</v>
      </c>
    </row>
    <row r="12" spans="1:11" x14ac:dyDescent="0.25">
      <c r="A12" s="44"/>
      <c r="B12" s="17">
        <f>B11*G3</f>
        <v>2492015166.6666665</v>
      </c>
      <c r="C12" s="4" t="s">
        <v>29</v>
      </c>
      <c r="D12" s="4"/>
      <c r="E12" s="1"/>
      <c r="F12" s="1"/>
      <c r="G12" s="4">
        <v>4</v>
      </c>
      <c r="H12" s="5">
        <f t="shared" si="0"/>
        <v>3484596.7401960776</v>
      </c>
      <c r="I12" s="5">
        <f t="shared" si="1"/>
        <v>2866786.3618110376</v>
      </c>
      <c r="J12" s="6">
        <f>I12+J11</f>
        <v>-10593792.4322992</v>
      </c>
      <c r="K12" t="str">
        <f t="shared" si="2"/>
        <v>-</v>
      </c>
    </row>
    <row r="13" spans="1:11" x14ac:dyDescent="0.25">
      <c r="A13" s="27" t="s">
        <v>30</v>
      </c>
      <c r="B13" s="17">
        <f>B10*0.201</f>
        <v>14890.75</v>
      </c>
      <c r="C13" s="4" t="s">
        <v>31</v>
      </c>
      <c r="D13" s="4"/>
      <c r="E13" s="1"/>
      <c r="F13" s="1"/>
      <c r="G13" s="4">
        <v>5</v>
      </c>
      <c r="H13" s="5">
        <f t="shared" si="0"/>
        <v>3484596.7401960776</v>
      </c>
      <c r="I13" s="5">
        <f t="shared" si="1"/>
        <v>2730272.7255343213</v>
      </c>
      <c r="J13" s="6">
        <f t="shared" si="3"/>
        <v>-7863519.7067648787</v>
      </c>
      <c r="K13" t="str">
        <f t="shared" si="2"/>
        <v>-</v>
      </c>
    </row>
    <row r="14" spans="1:11" x14ac:dyDescent="0.25">
      <c r="A14" s="27" t="s">
        <v>32</v>
      </c>
      <c r="B14" s="17">
        <f>B4*B2</f>
        <v>78441.176470588238</v>
      </c>
      <c r="C14" s="4" t="s">
        <v>13</v>
      </c>
      <c r="D14" s="4"/>
      <c r="E14" s="1"/>
      <c r="F14" s="1"/>
      <c r="G14" s="4">
        <v>6</v>
      </c>
      <c r="H14" s="5">
        <f t="shared" si="0"/>
        <v>3484596.7401960776</v>
      </c>
      <c r="I14" s="5">
        <f t="shared" si="1"/>
        <v>2600259.7386041158</v>
      </c>
      <c r="J14" s="6">
        <f t="shared" si="3"/>
        <v>-5263259.9681607634</v>
      </c>
      <c r="K14" t="str">
        <f t="shared" si="2"/>
        <v>-</v>
      </c>
    </row>
    <row r="15" spans="1:11" x14ac:dyDescent="0.25">
      <c r="A15" s="44" t="s">
        <v>33</v>
      </c>
      <c r="B15" s="19">
        <v>35</v>
      </c>
      <c r="C15" s="4" t="s">
        <v>17</v>
      </c>
      <c r="D15" s="4" t="s">
        <v>34</v>
      </c>
      <c r="E15" s="1"/>
      <c r="F15" s="1"/>
      <c r="G15" s="4">
        <v>7</v>
      </c>
      <c r="H15" s="5">
        <f t="shared" si="0"/>
        <v>3484596.7401960776</v>
      </c>
      <c r="I15" s="5">
        <f t="shared" si="1"/>
        <v>2476437.8462896338</v>
      </c>
      <c r="J15" s="6">
        <f t="shared" si="3"/>
        <v>-2786822.1218711296</v>
      </c>
      <c r="K15" t="str">
        <f t="shared" si="2"/>
        <v>-</v>
      </c>
    </row>
    <row r="16" spans="1:11" x14ac:dyDescent="0.25">
      <c r="A16" s="44"/>
      <c r="B16" s="20">
        <f>B15*G3/3.6</f>
        <v>3888.8888888888887</v>
      </c>
      <c r="C16" s="4" t="s">
        <v>35</v>
      </c>
      <c r="D16" s="4"/>
      <c r="E16" s="1"/>
      <c r="F16" s="1"/>
      <c r="G16" s="4">
        <v>8</v>
      </c>
      <c r="H16" s="5">
        <f t="shared" si="0"/>
        <v>3484596.7401960776</v>
      </c>
      <c r="I16" s="5">
        <f t="shared" si="1"/>
        <v>2358512.234561556</v>
      </c>
      <c r="J16" s="6">
        <f t="shared" si="3"/>
        <v>-428309.88730957359</v>
      </c>
      <c r="K16" t="str">
        <f t="shared" si="2"/>
        <v>-</v>
      </c>
    </row>
    <row r="17" spans="1:11" x14ac:dyDescent="0.25">
      <c r="A17" s="43" t="s">
        <v>36</v>
      </c>
      <c r="B17" s="21">
        <f>B15*B14</f>
        <v>2745441.1764705884</v>
      </c>
      <c r="C17" s="4" t="s">
        <v>28</v>
      </c>
      <c r="D17" s="4"/>
      <c r="E17" s="1"/>
      <c r="F17" s="1"/>
      <c r="G17" s="4">
        <v>9</v>
      </c>
      <c r="H17" s="5">
        <f t="shared" si="0"/>
        <v>3484596.7401960776</v>
      </c>
      <c r="I17" s="5">
        <f t="shared" si="1"/>
        <v>2246202.1281538629</v>
      </c>
      <c r="J17" s="6">
        <f t="shared" si="3"/>
        <v>1817892.2408442893</v>
      </c>
      <c r="K17">
        <f t="shared" si="2"/>
        <v>0.1906818099498456</v>
      </c>
    </row>
    <row r="18" spans="1:11" x14ac:dyDescent="0.25">
      <c r="A18" s="43"/>
      <c r="B18" s="17">
        <f>B17*G3</f>
        <v>1098176470.5882354</v>
      </c>
      <c r="C18" s="4" t="s">
        <v>29</v>
      </c>
      <c r="D18" s="4"/>
      <c r="E18" s="1"/>
      <c r="F18" s="1"/>
      <c r="G18" s="4">
        <v>10</v>
      </c>
      <c r="H18" s="5">
        <f t="shared" si="0"/>
        <v>3484596.7401960776</v>
      </c>
      <c r="I18" s="5">
        <f t="shared" si="1"/>
        <v>2139240.1220512982</v>
      </c>
      <c r="J18" s="6">
        <f t="shared" si="3"/>
        <v>3957132.3628955875</v>
      </c>
      <c r="K18">
        <f t="shared" si="2"/>
        <v>0.8497840995526621</v>
      </c>
    </row>
    <row r="19" spans="1:11" x14ac:dyDescent="0.25">
      <c r="A19" s="48" t="s">
        <v>37</v>
      </c>
      <c r="B19" s="17">
        <f>B11-B17</f>
        <v>3484596.7401960776</v>
      </c>
      <c r="C19" s="4" t="s">
        <v>28</v>
      </c>
      <c r="D19" s="4"/>
      <c r="E19" s="1"/>
      <c r="F19" s="1"/>
      <c r="G19" s="7" t="s">
        <v>38</v>
      </c>
      <c r="H19" s="8">
        <f>IRR(H8:H18)</f>
        <v>8.4154862448496459E-2</v>
      </c>
      <c r="I19" s="9"/>
      <c r="J19" s="10"/>
    </row>
    <row r="20" spans="1:11" x14ac:dyDescent="0.25">
      <c r="A20" s="48"/>
      <c r="B20" s="17">
        <f>B19*G3</f>
        <v>1393838696.0784311</v>
      </c>
      <c r="C20" s="4" t="s">
        <v>29</v>
      </c>
      <c r="D20" s="4"/>
      <c r="E20" s="1"/>
      <c r="F20" s="1"/>
      <c r="G20" s="7" t="s">
        <v>39</v>
      </c>
      <c r="H20" s="8"/>
      <c r="I20" s="9">
        <f>SUM(I8:I18)</f>
        <v>3957132.3628955875</v>
      </c>
      <c r="J20" s="10"/>
    </row>
    <row r="21" spans="1:11" x14ac:dyDescent="0.25">
      <c r="A21" s="27" t="s">
        <v>40</v>
      </c>
      <c r="B21" s="17">
        <v>7650000</v>
      </c>
      <c r="C21" s="4" t="s">
        <v>28</v>
      </c>
      <c r="D21" s="4" t="s">
        <v>41</v>
      </c>
      <c r="E21" s="3">
        <f>B21/(B3*1000)</f>
        <v>306</v>
      </c>
      <c r="F21" s="1"/>
      <c r="G21" s="7" t="s">
        <v>42</v>
      </c>
      <c r="H21" s="11"/>
      <c r="I21" s="11"/>
      <c r="J21" s="12" cm="1">
        <f t="array" ref="J21">COUNTIF(J8:J18,"&lt;"&amp;0)+INDEX(K8:K18,COUNTIF(J8:J18,"&lt;"&amp;0)+1)</f>
        <v>9.1906818099498455</v>
      </c>
    </row>
    <row r="22" spans="1:11" x14ac:dyDescent="0.25">
      <c r="A22" s="43" t="s">
        <v>43</v>
      </c>
      <c r="B22" s="22">
        <f>B21*2</f>
        <v>15300000</v>
      </c>
      <c r="C22" s="4" t="s">
        <v>28</v>
      </c>
      <c r="D22" s="23" t="s">
        <v>44</v>
      </c>
      <c r="E22" s="1"/>
      <c r="F22" s="1"/>
      <c r="G22" s="1"/>
      <c r="H22" s="1"/>
      <c r="I22" s="1"/>
      <c r="J22" s="1"/>
    </row>
    <row r="23" spans="1:11" x14ac:dyDescent="0.25">
      <c r="A23" s="43"/>
      <c r="B23" s="24"/>
      <c r="C23" s="4"/>
      <c r="D23" s="4"/>
      <c r="E23" s="1"/>
      <c r="F23" s="1"/>
      <c r="G23" s="1"/>
      <c r="H23" s="1"/>
      <c r="I23" s="1"/>
      <c r="J23" s="1"/>
    </row>
    <row r="24" spans="1:11" x14ac:dyDescent="0.25">
      <c r="A24" s="1"/>
      <c r="B24" s="3">
        <f>B21*2*G3</f>
        <v>6120000000</v>
      </c>
      <c r="C24" s="1"/>
      <c r="D24" s="1"/>
      <c r="E24" s="1"/>
      <c r="F24" s="1"/>
      <c r="G24" s="1"/>
      <c r="H24" s="1"/>
      <c r="I24" s="1"/>
      <c r="J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</sheetData>
  <mergeCells count="7">
    <mergeCell ref="A22:A23"/>
    <mergeCell ref="A11:A12"/>
    <mergeCell ref="A5:A6"/>
    <mergeCell ref="G6:J6"/>
    <mergeCell ref="A15:A16"/>
    <mergeCell ref="A17:A18"/>
    <mergeCell ref="A19:A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1"/>
  <sheetViews>
    <sheetView topLeftCell="A19" workbookViewId="0">
      <selection activeCell="J22" sqref="J22"/>
    </sheetView>
  </sheetViews>
  <sheetFormatPr defaultRowHeight="15.75" x14ac:dyDescent="0.25"/>
  <cols>
    <col min="1" max="1" width="29.125" bestFit="1" customWidth="1"/>
    <col min="2" max="2" width="15.75" bestFit="1" customWidth="1"/>
    <col min="3" max="3" width="13.375" customWidth="1"/>
    <col min="4" max="4" width="31.625" bestFit="1" customWidth="1"/>
    <col min="8" max="9" width="15.125" bestFit="1" customWidth="1"/>
    <col min="10" max="10" width="12.5" bestFit="1" customWidth="1"/>
  </cols>
  <sheetData>
    <row r="1" spans="1:11" x14ac:dyDescent="0.25">
      <c r="A1" s="26" t="s">
        <v>45</v>
      </c>
      <c r="B1" s="13" t="s">
        <v>0</v>
      </c>
      <c r="C1" s="13" t="s">
        <v>1</v>
      </c>
      <c r="D1" s="28" t="s">
        <v>2</v>
      </c>
      <c r="E1" s="30"/>
      <c r="F1" s="1"/>
      <c r="G1" s="1"/>
      <c r="H1" s="1"/>
      <c r="I1" s="1"/>
      <c r="J1" s="1"/>
    </row>
    <row r="2" spans="1:11" x14ac:dyDescent="0.25">
      <c r="A2" s="27" t="s">
        <v>3</v>
      </c>
      <c r="B2" s="14">
        <f>B3/0.85</f>
        <v>23.529411764705884</v>
      </c>
      <c r="C2" s="4" t="s">
        <v>4</v>
      </c>
      <c r="D2" s="7" t="s">
        <v>5</v>
      </c>
      <c r="E2" s="30"/>
      <c r="F2" s="1"/>
      <c r="G2" s="1"/>
      <c r="H2" s="1"/>
      <c r="I2" s="1"/>
      <c r="J2" s="1"/>
    </row>
    <row r="3" spans="1:11" x14ac:dyDescent="0.25">
      <c r="A3" s="27" t="s">
        <v>6</v>
      </c>
      <c r="B3" s="4">
        <v>20</v>
      </c>
      <c r="C3" s="4" t="s">
        <v>4</v>
      </c>
      <c r="D3" s="7"/>
      <c r="E3" s="30"/>
      <c r="F3" s="1" t="s">
        <v>7</v>
      </c>
      <c r="G3" s="1">
        <v>400</v>
      </c>
      <c r="H3" s="1"/>
      <c r="I3" s="1"/>
      <c r="J3" s="1"/>
    </row>
    <row r="4" spans="1:11" x14ac:dyDescent="0.25">
      <c r="A4" s="27" t="s">
        <v>8</v>
      </c>
      <c r="B4" s="15">
        <v>2840</v>
      </c>
      <c r="C4" s="4" t="s">
        <v>9</v>
      </c>
      <c r="D4" s="7" t="s">
        <v>10</v>
      </c>
      <c r="E4" s="30"/>
      <c r="F4" s="1" t="s">
        <v>11</v>
      </c>
      <c r="G4" s="2">
        <v>0.05</v>
      </c>
      <c r="H4" s="1"/>
      <c r="I4" s="1"/>
      <c r="J4" s="1"/>
    </row>
    <row r="5" spans="1:11" x14ac:dyDescent="0.25">
      <c r="A5" s="44" t="s">
        <v>12</v>
      </c>
      <c r="B5" s="17">
        <f>B3*B4</f>
        <v>56800</v>
      </c>
      <c r="C5" s="4" t="s">
        <v>13</v>
      </c>
      <c r="D5" s="7"/>
      <c r="E5" s="30"/>
      <c r="F5" s="1"/>
      <c r="G5" s="1"/>
      <c r="H5" s="1"/>
      <c r="I5" s="1"/>
      <c r="J5" s="1"/>
    </row>
    <row r="6" spans="1:11" x14ac:dyDescent="0.25">
      <c r="A6" s="44"/>
      <c r="B6" s="17">
        <f>B5*3.6</f>
        <v>204480</v>
      </c>
      <c r="C6" s="4" t="s">
        <v>14</v>
      </c>
      <c r="D6" s="7"/>
      <c r="E6" s="30"/>
      <c r="F6" s="1"/>
      <c r="G6" s="1"/>
      <c r="H6" s="1"/>
      <c r="I6" s="1"/>
      <c r="J6" s="1"/>
    </row>
    <row r="7" spans="1:11" x14ac:dyDescent="0.25">
      <c r="A7" s="27" t="s">
        <v>16</v>
      </c>
      <c r="B7" s="15">
        <v>65</v>
      </c>
      <c r="C7" s="4" t="s">
        <v>17</v>
      </c>
      <c r="D7" s="7"/>
      <c r="E7" s="30"/>
      <c r="F7" s="1"/>
      <c r="G7" s="4"/>
      <c r="H7" s="4" t="s">
        <v>18</v>
      </c>
      <c r="I7" s="4" t="s">
        <v>19</v>
      </c>
      <c r="J7" s="4"/>
    </row>
    <row r="8" spans="1:11" x14ac:dyDescent="0.25">
      <c r="A8" s="27" t="s">
        <v>20</v>
      </c>
      <c r="B8" s="15">
        <v>95</v>
      </c>
      <c r="C8" s="4" t="s">
        <v>21</v>
      </c>
      <c r="D8" s="7" t="s">
        <v>22</v>
      </c>
      <c r="E8" s="30"/>
      <c r="F8" s="1"/>
      <c r="G8" s="4">
        <v>0</v>
      </c>
      <c r="H8" s="18">
        <f>(B21+B22)*-1</f>
        <v>-18600000</v>
      </c>
      <c r="I8" s="5">
        <f>H8/(1+$G$4)^G8</f>
        <v>-18600000</v>
      </c>
      <c r="J8" s="6">
        <f>I8</f>
        <v>-18600000</v>
      </c>
    </row>
    <row r="9" spans="1:11" x14ac:dyDescent="0.25">
      <c r="A9" s="27" t="s">
        <v>23</v>
      </c>
      <c r="B9" s="17">
        <f>B7+0.201*B8</f>
        <v>84.094999999999999</v>
      </c>
      <c r="C9" s="4" t="s">
        <v>17</v>
      </c>
      <c r="D9" s="7" t="s">
        <v>24</v>
      </c>
      <c r="E9" s="30"/>
      <c r="F9" s="1"/>
      <c r="G9" s="4">
        <v>1</v>
      </c>
      <c r="H9" s="18">
        <f t="shared" ref="H9:H18" si="0">$B$19</f>
        <v>2968505.3594771242</v>
      </c>
      <c r="I9" s="5">
        <f>H9/(1+$G$4)^G9</f>
        <v>2827147.9614067846</v>
      </c>
      <c r="J9" s="6">
        <f>I9+J8</f>
        <v>-15772852.038593216</v>
      </c>
    </row>
    <row r="10" spans="1:11" x14ac:dyDescent="0.25">
      <c r="A10" s="27" t="s">
        <v>25</v>
      </c>
      <c r="B10" s="17">
        <f>B5/0.9</f>
        <v>63111.111111111109</v>
      </c>
      <c r="C10" s="4" t="s">
        <v>13</v>
      </c>
      <c r="D10" s="7" t="s">
        <v>26</v>
      </c>
      <c r="E10" s="30"/>
      <c r="F10" s="1"/>
      <c r="G10" s="4">
        <v>2</v>
      </c>
      <c r="H10" s="18">
        <f t="shared" si="0"/>
        <v>2968505.3594771242</v>
      </c>
      <c r="I10" s="5">
        <f t="shared" ref="I10:I18" si="1">H10/(1+$G$4)^G10</f>
        <v>2692521.8680064618</v>
      </c>
      <c r="J10" s="6">
        <f>I10+J9</f>
        <v>-13080330.170586754</v>
      </c>
      <c r="K10" t="str">
        <f t="shared" ref="K10:K18" si="2">IF(J10&lt;0, "-",ABS(J9/I10))</f>
        <v>-</v>
      </c>
    </row>
    <row r="11" spans="1:11" x14ac:dyDescent="0.25">
      <c r="A11" s="49" t="s">
        <v>27</v>
      </c>
      <c r="B11" s="17">
        <f>B10*B9</f>
        <v>5307328.888888889</v>
      </c>
      <c r="C11" s="4" t="s">
        <v>28</v>
      </c>
      <c r="D11" s="7"/>
      <c r="E11" s="30"/>
      <c r="F11" s="1"/>
      <c r="G11" s="4">
        <v>3</v>
      </c>
      <c r="H11" s="18">
        <f t="shared" si="0"/>
        <v>2968505.3594771242</v>
      </c>
      <c r="I11" s="5">
        <f t="shared" si="1"/>
        <v>2564306.5409585349</v>
      </c>
      <c r="J11" s="6">
        <f t="shared" ref="J11:J18" si="3">I11+J10</f>
        <v>-10516023.629628219</v>
      </c>
      <c r="K11" t="str">
        <f t="shared" si="2"/>
        <v>-</v>
      </c>
    </row>
    <row r="12" spans="1:11" x14ac:dyDescent="0.25">
      <c r="A12" s="50"/>
      <c r="B12" s="17">
        <f>B11*G3</f>
        <v>2122931555.5555556</v>
      </c>
      <c r="C12" s="4" t="s">
        <v>29</v>
      </c>
      <c r="D12" s="7"/>
      <c r="E12" s="30"/>
      <c r="F12" s="1"/>
      <c r="G12" s="4">
        <v>4</v>
      </c>
      <c r="H12" s="18">
        <f t="shared" si="0"/>
        <v>2968505.3594771242</v>
      </c>
      <c r="I12" s="5">
        <f t="shared" si="1"/>
        <v>2442196.7056747954</v>
      </c>
      <c r="J12" s="6">
        <f>I12+J11</f>
        <v>-8073826.9239534233</v>
      </c>
      <c r="K12" t="str">
        <f t="shared" si="2"/>
        <v>-</v>
      </c>
    </row>
    <row r="13" spans="1:11" x14ac:dyDescent="0.25">
      <c r="A13" s="27" t="s">
        <v>30</v>
      </c>
      <c r="B13" s="17">
        <f>B10*0.201</f>
        <v>12685.333333333334</v>
      </c>
      <c r="C13" s="4" t="s">
        <v>31</v>
      </c>
      <c r="D13" s="7"/>
      <c r="E13" s="30"/>
      <c r="F13" s="1"/>
      <c r="G13" s="4">
        <v>5</v>
      </c>
      <c r="H13" s="18">
        <f t="shared" si="0"/>
        <v>2968505.3594771242</v>
      </c>
      <c r="I13" s="5">
        <f t="shared" si="1"/>
        <v>2325901.6244521858</v>
      </c>
      <c r="J13" s="6">
        <f t="shared" si="3"/>
        <v>-5747925.2995012375</v>
      </c>
      <c r="K13" t="str">
        <f t="shared" si="2"/>
        <v>-</v>
      </c>
    </row>
    <row r="14" spans="1:11" x14ac:dyDescent="0.25">
      <c r="A14" s="27" t="s">
        <v>32</v>
      </c>
      <c r="B14" s="17">
        <f>B4*B2</f>
        <v>66823.529411764714</v>
      </c>
      <c r="C14" s="4" t="s">
        <v>13</v>
      </c>
      <c r="D14" s="7"/>
      <c r="E14" s="30"/>
      <c r="F14" s="1"/>
      <c r="G14" s="4">
        <v>6</v>
      </c>
      <c r="H14" s="18">
        <f t="shared" si="0"/>
        <v>2968505.3594771242</v>
      </c>
      <c r="I14" s="5">
        <f t="shared" si="1"/>
        <v>2215144.404240177</v>
      </c>
      <c r="J14" s="6">
        <f t="shared" si="3"/>
        <v>-3532780.8952610604</v>
      </c>
      <c r="K14" t="str">
        <f t="shared" si="2"/>
        <v>-</v>
      </c>
    </row>
    <row r="15" spans="1:11" x14ac:dyDescent="0.25">
      <c r="A15" s="44" t="s">
        <v>33</v>
      </c>
      <c r="B15" s="19">
        <v>35</v>
      </c>
      <c r="C15" s="4" t="s">
        <v>17</v>
      </c>
      <c r="D15" s="7" t="s">
        <v>34</v>
      </c>
      <c r="E15" s="30"/>
      <c r="F15" s="1"/>
      <c r="G15" s="4">
        <v>7</v>
      </c>
      <c r="H15" s="18">
        <f t="shared" si="0"/>
        <v>2968505.3594771242</v>
      </c>
      <c r="I15" s="5">
        <f t="shared" si="1"/>
        <v>2109661.3373715971</v>
      </c>
      <c r="J15" s="6">
        <f t="shared" si="3"/>
        <v>-1423119.5578894634</v>
      </c>
      <c r="K15" t="str">
        <f t="shared" si="2"/>
        <v>-</v>
      </c>
    </row>
    <row r="16" spans="1:11" x14ac:dyDescent="0.25">
      <c r="A16" s="44"/>
      <c r="B16" s="20">
        <f>B15*G3/3.6</f>
        <v>3888.8888888888887</v>
      </c>
      <c r="C16" s="4" t="s">
        <v>35</v>
      </c>
      <c r="D16" s="7"/>
      <c r="E16" s="30"/>
      <c r="F16" s="1"/>
      <c r="G16" s="4">
        <v>8</v>
      </c>
      <c r="H16" s="18">
        <f t="shared" si="0"/>
        <v>2968505.3594771242</v>
      </c>
      <c r="I16" s="5">
        <f t="shared" si="1"/>
        <v>2009201.2736872353</v>
      </c>
      <c r="J16" s="6">
        <f t="shared" si="3"/>
        <v>586081.71579777193</v>
      </c>
      <c r="K16" s="40">
        <f t="shared" si="2"/>
        <v>0.708301142611656</v>
      </c>
    </row>
    <row r="17" spans="1:11" x14ac:dyDescent="0.25">
      <c r="A17" s="43" t="s">
        <v>36</v>
      </c>
      <c r="B17" s="21">
        <f>B15*B14</f>
        <v>2338823.5294117648</v>
      </c>
      <c r="C17" s="4" t="s">
        <v>28</v>
      </c>
      <c r="D17" s="7"/>
      <c r="E17" s="30"/>
      <c r="F17" s="1"/>
      <c r="G17" s="4">
        <v>9</v>
      </c>
      <c r="H17" s="18">
        <f t="shared" si="0"/>
        <v>2968505.3594771242</v>
      </c>
      <c r="I17" s="5">
        <f t="shared" si="1"/>
        <v>1913525.0225592717</v>
      </c>
      <c r="J17" s="6">
        <f t="shared" si="3"/>
        <v>2499606.7383570438</v>
      </c>
      <c r="K17" s="40">
        <f t="shared" si="2"/>
        <v>0.3062838002577612</v>
      </c>
    </row>
    <row r="18" spans="1:11" x14ac:dyDescent="0.25">
      <c r="A18" s="43"/>
      <c r="B18" s="17">
        <f>B17*G3</f>
        <v>935529411.7647059</v>
      </c>
      <c r="C18" s="4" t="s">
        <v>29</v>
      </c>
      <c r="D18" s="7"/>
      <c r="E18" s="30"/>
      <c r="F18" s="1"/>
      <c r="G18" s="4">
        <v>10</v>
      </c>
      <c r="H18" s="18">
        <f t="shared" si="0"/>
        <v>2968505.3594771242</v>
      </c>
      <c r="I18" s="5">
        <f t="shared" si="1"/>
        <v>1822404.7833897825</v>
      </c>
      <c r="J18" s="6">
        <f t="shared" si="3"/>
        <v>4322011.5217468264</v>
      </c>
      <c r="K18" s="40">
        <f t="shared" si="2"/>
        <v>1.3715979902706494</v>
      </c>
    </row>
    <row r="19" spans="1:11" x14ac:dyDescent="0.25">
      <c r="A19" s="48" t="s">
        <v>37</v>
      </c>
      <c r="B19" s="17">
        <f>B11-B17</f>
        <v>2968505.3594771242</v>
      </c>
      <c r="C19" s="4" t="s">
        <v>28</v>
      </c>
      <c r="D19" s="7"/>
      <c r="E19" s="30"/>
      <c r="F19" s="1"/>
      <c r="G19" s="7" t="s">
        <v>38</v>
      </c>
      <c r="H19" s="8">
        <f>IRR(H8:H18)</f>
        <v>9.5477598393807872E-2</v>
      </c>
      <c r="I19" s="9"/>
      <c r="J19" s="10"/>
    </row>
    <row r="20" spans="1:11" x14ac:dyDescent="0.25">
      <c r="A20" s="48"/>
      <c r="B20" s="17">
        <f>B19*G3</f>
        <v>1187402143.7908497</v>
      </c>
      <c r="C20" s="4" t="s">
        <v>29</v>
      </c>
      <c r="D20" s="7"/>
      <c r="E20" s="30"/>
      <c r="F20" s="1"/>
      <c r="G20" s="7" t="s">
        <v>39</v>
      </c>
      <c r="H20" s="8"/>
      <c r="I20" s="9">
        <f>SUM(I8:I18)</f>
        <v>4322011.5217468264</v>
      </c>
      <c r="J20" s="10"/>
    </row>
    <row r="21" spans="1:11" x14ac:dyDescent="0.25">
      <c r="A21" s="27" t="s">
        <v>40</v>
      </c>
      <c r="B21" s="17">
        <v>6200000</v>
      </c>
      <c r="C21" s="4" t="s">
        <v>28</v>
      </c>
      <c r="D21" s="7" t="s">
        <v>46</v>
      </c>
      <c r="E21" s="31">
        <f>B21/(B3*1000)</f>
        <v>310</v>
      </c>
      <c r="F21" s="1"/>
      <c r="G21" s="4" t="s">
        <v>42</v>
      </c>
      <c r="H21" s="7"/>
      <c r="I21" s="11"/>
      <c r="J21" s="12" cm="1">
        <f t="array" ref="J21">COUNTIF(J8:J18,"&lt;"&amp;0)+INDEX(K8:K18,COUNTIF(J8:J18,"&lt;"&amp;0)+1)</f>
        <v>8.7083011426116563</v>
      </c>
      <c r="K21" s="40" cm="1">
        <f t="array" ref="K21">INDEX(K8:K18,COUNTIF(J8:J18,"&lt;"&amp;0)+1)</f>
        <v>0.708301142611656</v>
      </c>
    </row>
    <row r="22" spans="1:11" x14ac:dyDescent="0.25">
      <c r="A22" s="43" t="s">
        <v>43</v>
      </c>
      <c r="B22" s="22">
        <f>B21*2</f>
        <v>12400000</v>
      </c>
      <c r="C22" s="4" t="s">
        <v>28</v>
      </c>
      <c r="D22" s="29" t="s">
        <v>44</v>
      </c>
      <c r="E22" s="30"/>
      <c r="F22" s="1"/>
      <c r="G22" s="1"/>
      <c r="H22" s="1"/>
      <c r="I22" s="1"/>
      <c r="J22" s="1"/>
    </row>
    <row r="23" spans="1:11" x14ac:dyDescent="0.25">
      <c r="A23" s="43"/>
      <c r="B23" s="24"/>
      <c r="C23" s="4"/>
      <c r="D23" s="7"/>
      <c r="E23" s="30"/>
      <c r="F23" s="1"/>
      <c r="G23" s="1"/>
      <c r="H23" s="1"/>
      <c r="I23" s="1"/>
      <c r="J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</sheetData>
  <mergeCells count="6">
    <mergeCell ref="A22:A23"/>
    <mergeCell ref="A5:A6"/>
    <mergeCell ref="A11:A12"/>
    <mergeCell ref="A15:A16"/>
    <mergeCell ref="A17:A18"/>
    <mergeCell ref="A19:A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1"/>
  <sheetViews>
    <sheetView topLeftCell="A13" workbookViewId="0">
      <selection activeCell="I20" sqref="I20"/>
    </sheetView>
  </sheetViews>
  <sheetFormatPr defaultRowHeight="15.75" x14ac:dyDescent="0.25"/>
  <cols>
    <col min="1" max="1" width="29.125" bestFit="1" customWidth="1"/>
    <col min="2" max="2" width="15.75" bestFit="1" customWidth="1"/>
    <col min="3" max="3" width="13" customWidth="1"/>
    <col min="4" max="4" width="31.625" bestFit="1" customWidth="1"/>
    <col min="8" max="9" width="15.125" bestFit="1" customWidth="1"/>
    <col min="10" max="10" width="12.5" bestFit="1" customWidth="1"/>
  </cols>
  <sheetData>
    <row r="1" spans="1:11" x14ac:dyDescent="0.25">
      <c r="A1" s="26" t="s">
        <v>45</v>
      </c>
      <c r="B1" s="26" t="s">
        <v>0</v>
      </c>
      <c r="C1" s="26" t="s">
        <v>1</v>
      </c>
      <c r="D1" s="26" t="s">
        <v>2</v>
      </c>
      <c r="E1" s="1"/>
      <c r="F1" s="1"/>
      <c r="G1" s="1"/>
      <c r="H1" s="1"/>
      <c r="I1" s="1"/>
      <c r="J1" s="1"/>
    </row>
    <row r="2" spans="1:11" x14ac:dyDescent="0.25">
      <c r="A2" s="27" t="s">
        <v>3</v>
      </c>
      <c r="B2" s="32">
        <f>B3/0.85</f>
        <v>29.411764705882355</v>
      </c>
      <c r="C2" s="27" t="s">
        <v>4</v>
      </c>
      <c r="D2" s="27" t="s">
        <v>5</v>
      </c>
      <c r="E2" s="1"/>
      <c r="F2" s="1"/>
      <c r="G2" s="1"/>
      <c r="H2" s="1"/>
      <c r="I2" s="1"/>
      <c r="J2" s="1"/>
    </row>
    <row r="3" spans="1:11" x14ac:dyDescent="0.25">
      <c r="A3" s="27" t="s">
        <v>6</v>
      </c>
      <c r="B3" s="27">
        <v>25</v>
      </c>
      <c r="C3" s="27" t="s">
        <v>4</v>
      </c>
      <c r="D3" s="27"/>
      <c r="E3" s="1"/>
      <c r="F3" s="1" t="s">
        <v>7</v>
      </c>
      <c r="G3" s="1">
        <v>400</v>
      </c>
      <c r="H3" s="1"/>
      <c r="I3" s="1"/>
      <c r="J3" s="1"/>
    </row>
    <row r="4" spans="1:11" x14ac:dyDescent="0.25">
      <c r="A4" s="27" t="s">
        <v>8</v>
      </c>
      <c r="B4" s="33">
        <v>2667</v>
      </c>
      <c r="C4" s="27" t="s">
        <v>9</v>
      </c>
      <c r="D4" s="27" t="s">
        <v>10</v>
      </c>
      <c r="E4" s="1"/>
      <c r="F4" s="1" t="s">
        <v>11</v>
      </c>
      <c r="G4" s="2">
        <v>0.05</v>
      </c>
      <c r="H4" s="1"/>
      <c r="I4" s="1"/>
      <c r="J4" s="1"/>
    </row>
    <row r="5" spans="1:11" x14ac:dyDescent="0.25">
      <c r="A5" s="44" t="s">
        <v>12</v>
      </c>
      <c r="B5" s="34">
        <f>B3*B4</f>
        <v>66675</v>
      </c>
      <c r="C5" s="27" t="s">
        <v>13</v>
      </c>
      <c r="D5" s="27"/>
      <c r="E5" s="1"/>
      <c r="F5" s="1"/>
      <c r="G5" s="1"/>
      <c r="H5" s="1"/>
      <c r="I5" s="1"/>
      <c r="J5" s="1"/>
    </row>
    <row r="6" spans="1:11" x14ac:dyDescent="0.25">
      <c r="A6" s="44"/>
      <c r="B6" s="34">
        <f>B5*3.6</f>
        <v>240030</v>
      </c>
      <c r="C6" s="27" t="s">
        <v>14</v>
      </c>
      <c r="D6" s="27"/>
      <c r="E6" s="1"/>
      <c r="F6" s="1"/>
      <c r="G6" s="1"/>
      <c r="H6" s="1"/>
      <c r="I6" s="1"/>
      <c r="J6" s="1"/>
    </row>
    <row r="7" spans="1:11" x14ac:dyDescent="0.25">
      <c r="A7" s="27" t="s">
        <v>16</v>
      </c>
      <c r="B7" s="33">
        <v>65</v>
      </c>
      <c r="C7" s="27" t="s">
        <v>17</v>
      </c>
      <c r="D7" s="27"/>
      <c r="E7" s="1"/>
      <c r="F7" s="1"/>
      <c r="G7" s="4"/>
      <c r="H7" s="4" t="s">
        <v>18</v>
      </c>
      <c r="I7" s="4" t="s">
        <v>19</v>
      </c>
      <c r="J7" s="4"/>
    </row>
    <row r="8" spans="1:11" x14ac:dyDescent="0.25">
      <c r="A8" s="27" t="s">
        <v>20</v>
      </c>
      <c r="B8" s="33">
        <v>95</v>
      </c>
      <c r="C8" s="27" t="s">
        <v>21</v>
      </c>
      <c r="D8" s="27" t="s">
        <v>22</v>
      </c>
      <c r="E8" s="1"/>
      <c r="F8" s="1"/>
      <c r="G8" s="4">
        <v>0</v>
      </c>
      <c r="H8" s="5">
        <f>(B21+B22)*-1</f>
        <v>-26970000</v>
      </c>
      <c r="I8" s="5">
        <f>H8/(1+$G$4)^G8</f>
        <v>-26970000</v>
      </c>
      <c r="J8" s="6">
        <f>I8</f>
        <v>-26970000</v>
      </c>
    </row>
    <row r="9" spans="1:11" x14ac:dyDescent="0.25">
      <c r="A9" s="27" t="s">
        <v>23</v>
      </c>
      <c r="B9" s="34">
        <f>B7+0.201*B8</f>
        <v>84.094999999999999</v>
      </c>
      <c r="C9" s="27" t="s">
        <v>17</v>
      </c>
      <c r="D9" s="27" t="s">
        <v>24</v>
      </c>
      <c r="E9" s="1"/>
      <c r="F9" s="1"/>
      <c r="G9" s="4">
        <v>1</v>
      </c>
      <c r="H9" s="5">
        <f t="shared" ref="H9:H18" si="0">$B$19</f>
        <v>3484596.7401960776</v>
      </c>
      <c r="I9" s="5">
        <f t="shared" ref="I9:I18" si="1">H9/(1+$G$4)^G9</f>
        <v>3318663.5620915024</v>
      </c>
      <c r="J9" s="6">
        <f>I9+J8</f>
        <v>-23651336.437908497</v>
      </c>
      <c r="K9" t="str">
        <f>IF(J9&lt;0, "-",ABS(J8/I9))</f>
        <v>-</v>
      </c>
    </row>
    <row r="10" spans="1:11" x14ac:dyDescent="0.25">
      <c r="A10" s="27" t="s">
        <v>25</v>
      </c>
      <c r="B10" s="34">
        <f>B5/0.9</f>
        <v>74083.333333333328</v>
      </c>
      <c r="C10" s="27" t="s">
        <v>13</v>
      </c>
      <c r="D10" s="27" t="s">
        <v>26</v>
      </c>
      <c r="E10" s="1"/>
      <c r="F10" s="1"/>
      <c r="G10" s="4">
        <v>2</v>
      </c>
      <c r="H10" s="5">
        <f t="shared" si="0"/>
        <v>3484596.7401960776</v>
      </c>
      <c r="I10" s="5">
        <f t="shared" si="1"/>
        <v>3160631.963896669</v>
      </c>
      <c r="J10" s="6">
        <f>I10+J9</f>
        <v>-20490704.474011827</v>
      </c>
      <c r="K10" t="str">
        <f t="shared" ref="K10:K18" si="2">IF(J10&lt;0, "-",ABS(J9/I10))</f>
        <v>-</v>
      </c>
    </row>
    <row r="11" spans="1:11" x14ac:dyDescent="0.25">
      <c r="A11" s="49" t="s">
        <v>27</v>
      </c>
      <c r="B11" s="34">
        <f>B10*B9</f>
        <v>6230037.916666666</v>
      </c>
      <c r="C11" s="27" t="s">
        <v>28</v>
      </c>
      <c r="D11" s="27"/>
      <c r="E11" s="1"/>
      <c r="F11" s="1"/>
      <c r="G11" s="4">
        <v>3</v>
      </c>
      <c r="H11" s="5">
        <f t="shared" si="0"/>
        <v>3484596.7401960776</v>
      </c>
      <c r="I11" s="5">
        <f t="shared" si="1"/>
        <v>3010125.6799015892</v>
      </c>
      <c r="J11" s="6">
        <f>I11+J10</f>
        <v>-17480578.794110239</v>
      </c>
      <c r="K11" t="str">
        <f t="shared" si="2"/>
        <v>-</v>
      </c>
    </row>
    <row r="12" spans="1:11" x14ac:dyDescent="0.25">
      <c r="A12" s="50"/>
      <c r="B12" s="34">
        <f>B11*G3</f>
        <v>2492015166.6666665</v>
      </c>
      <c r="C12" s="27" t="s">
        <v>29</v>
      </c>
      <c r="D12" s="27"/>
      <c r="E12" s="1"/>
      <c r="F12" s="1"/>
      <c r="G12" s="4">
        <v>4</v>
      </c>
      <c r="H12" s="5">
        <f t="shared" si="0"/>
        <v>3484596.7401960776</v>
      </c>
      <c r="I12" s="5">
        <f t="shared" si="1"/>
        <v>2866786.3618110376</v>
      </c>
      <c r="J12" s="6">
        <f>I12+J11</f>
        <v>-14613792.4322992</v>
      </c>
      <c r="K12" t="str">
        <f t="shared" si="2"/>
        <v>-</v>
      </c>
    </row>
    <row r="13" spans="1:11" x14ac:dyDescent="0.25">
      <c r="A13" s="27" t="s">
        <v>30</v>
      </c>
      <c r="B13" s="34">
        <f>B10*0.201</f>
        <v>14890.75</v>
      </c>
      <c r="C13" s="27" t="s">
        <v>31</v>
      </c>
      <c r="D13" s="27"/>
      <c r="E13" s="1"/>
      <c r="F13" s="1"/>
      <c r="G13" s="4">
        <v>5</v>
      </c>
      <c r="H13" s="5">
        <f t="shared" si="0"/>
        <v>3484596.7401960776</v>
      </c>
      <c r="I13" s="5">
        <f t="shared" si="1"/>
        <v>2730272.7255343213</v>
      </c>
      <c r="J13" s="6">
        <f t="shared" ref="J13:J18" si="3">I13+J12</f>
        <v>-11883519.706764879</v>
      </c>
      <c r="K13" t="str">
        <f t="shared" si="2"/>
        <v>-</v>
      </c>
    </row>
    <row r="14" spans="1:11" x14ac:dyDescent="0.25">
      <c r="A14" s="27" t="s">
        <v>32</v>
      </c>
      <c r="B14" s="34">
        <f>B4*B2</f>
        <v>78441.176470588238</v>
      </c>
      <c r="C14" s="27" t="s">
        <v>13</v>
      </c>
      <c r="D14" s="27"/>
      <c r="E14" s="1"/>
      <c r="F14" s="1"/>
      <c r="G14" s="4">
        <v>6</v>
      </c>
      <c r="H14" s="5">
        <f t="shared" si="0"/>
        <v>3484596.7401960776</v>
      </c>
      <c r="I14" s="5">
        <f t="shared" si="1"/>
        <v>2600259.7386041158</v>
      </c>
      <c r="J14" s="6">
        <f t="shared" si="3"/>
        <v>-9283259.9681607634</v>
      </c>
      <c r="K14" t="str">
        <f t="shared" si="2"/>
        <v>-</v>
      </c>
    </row>
    <row r="15" spans="1:11" x14ac:dyDescent="0.25">
      <c r="A15" s="44" t="s">
        <v>33</v>
      </c>
      <c r="B15" s="35">
        <v>35</v>
      </c>
      <c r="C15" s="27" t="s">
        <v>17</v>
      </c>
      <c r="D15" s="27" t="s">
        <v>34</v>
      </c>
      <c r="E15" s="1"/>
      <c r="F15" s="1"/>
      <c r="G15" s="4">
        <v>7</v>
      </c>
      <c r="H15" s="5">
        <f t="shared" si="0"/>
        <v>3484596.7401960776</v>
      </c>
      <c r="I15" s="5">
        <f t="shared" si="1"/>
        <v>2476437.8462896338</v>
      </c>
      <c r="J15" s="6">
        <f t="shared" si="3"/>
        <v>-6806822.1218711296</v>
      </c>
      <c r="K15" t="str">
        <f t="shared" si="2"/>
        <v>-</v>
      </c>
    </row>
    <row r="16" spans="1:11" x14ac:dyDescent="0.25">
      <c r="A16" s="44"/>
      <c r="B16" s="36">
        <f>B15*G3/3.6</f>
        <v>3888.8888888888887</v>
      </c>
      <c r="C16" s="27" t="s">
        <v>35</v>
      </c>
      <c r="D16" s="27"/>
      <c r="E16" s="1"/>
      <c r="F16" s="1"/>
      <c r="G16" s="4">
        <v>8</v>
      </c>
      <c r="H16" s="5">
        <f t="shared" si="0"/>
        <v>3484596.7401960776</v>
      </c>
      <c r="I16" s="5">
        <f t="shared" si="1"/>
        <v>2358512.234561556</v>
      </c>
      <c r="J16" s="6">
        <f t="shared" si="3"/>
        <v>-4448309.8873095736</v>
      </c>
      <c r="K16" t="str">
        <f t="shared" si="2"/>
        <v>-</v>
      </c>
    </row>
    <row r="17" spans="1:11" x14ac:dyDescent="0.25">
      <c r="A17" s="43" t="s">
        <v>36</v>
      </c>
      <c r="B17" s="37">
        <f>B15*B14</f>
        <v>2745441.1764705884</v>
      </c>
      <c r="C17" s="27" t="s">
        <v>28</v>
      </c>
      <c r="D17" s="27"/>
      <c r="E17" s="1"/>
      <c r="F17" s="1"/>
      <c r="G17" s="4">
        <v>9</v>
      </c>
      <c r="H17" s="5">
        <f t="shared" si="0"/>
        <v>3484596.7401960776</v>
      </c>
      <c r="I17" s="5">
        <f t="shared" si="1"/>
        <v>2246202.1281538629</v>
      </c>
      <c r="J17" s="6">
        <f t="shared" si="3"/>
        <v>-2202107.7591557107</v>
      </c>
      <c r="K17" t="str">
        <f t="shared" si="2"/>
        <v>-</v>
      </c>
    </row>
    <row r="18" spans="1:11" x14ac:dyDescent="0.25">
      <c r="A18" s="43"/>
      <c r="B18" s="34">
        <f>B17*G3</f>
        <v>1098176470.5882354</v>
      </c>
      <c r="C18" s="27" t="s">
        <v>29</v>
      </c>
      <c r="D18" s="27"/>
      <c r="E18" s="1"/>
      <c r="F18" s="1"/>
      <c r="G18" s="4">
        <v>10</v>
      </c>
      <c r="H18" s="5">
        <f t="shared" si="0"/>
        <v>3484596.7401960776</v>
      </c>
      <c r="I18" s="5">
        <f t="shared" si="1"/>
        <v>2139240.1220512982</v>
      </c>
      <c r="J18" s="6">
        <f t="shared" si="3"/>
        <v>-62867.637104412541</v>
      </c>
      <c r="K18" t="str">
        <f t="shared" si="2"/>
        <v>-</v>
      </c>
    </row>
    <row r="19" spans="1:11" x14ac:dyDescent="0.25">
      <c r="A19" s="48" t="s">
        <v>37</v>
      </c>
      <c r="B19" s="34">
        <f>B11-B17</f>
        <v>3484596.7401960776</v>
      </c>
      <c r="C19" s="27" t="s">
        <v>28</v>
      </c>
      <c r="D19" s="27"/>
      <c r="E19" s="1"/>
      <c r="F19" s="1"/>
      <c r="G19" s="7" t="s">
        <v>38</v>
      </c>
      <c r="H19" s="8">
        <f>IRR(H8:H18)</f>
        <v>4.9519723037472652E-2</v>
      </c>
      <c r="I19" s="9"/>
      <c r="J19" s="10"/>
    </row>
    <row r="20" spans="1:11" x14ac:dyDescent="0.25">
      <c r="A20" s="48"/>
      <c r="B20" s="34">
        <f>B19*G3</f>
        <v>1393838696.0784311</v>
      </c>
      <c r="C20" s="27" t="s">
        <v>29</v>
      </c>
      <c r="D20" s="27"/>
      <c r="E20" s="1"/>
      <c r="F20" s="1"/>
      <c r="G20" s="7" t="s">
        <v>39</v>
      </c>
      <c r="H20" s="8"/>
      <c r="I20" s="9">
        <f>SUM(I8:I18)</f>
        <v>-62867.637104412541</v>
      </c>
      <c r="J20" s="10"/>
    </row>
    <row r="21" spans="1:11" x14ac:dyDescent="0.25">
      <c r="A21" s="27" t="s">
        <v>40</v>
      </c>
      <c r="B21" s="34">
        <v>8990000</v>
      </c>
      <c r="C21" s="27" t="s">
        <v>28</v>
      </c>
      <c r="D21" s="27" t="s">
        <v>41</v>
      </c>
      <c r="E21" s="3">
        <f>B21/(B3*1000)</f>
        <v>359.6</v>
      </c>
      <c r="F21" s="1"/>
      <c r="G21" s="7" t="s">
        <v>42</v>
      </c>
      <c r="H21" s="11"/>
      <c r="I21" s="11"/>
      <c r="J21" s="25" t="e" cm="1">
        <f t="array" ref="J21">COUNTIF(J8:J18,"&lt;"&amp;0)+INDEX(K8:K18,COUNTIF(J8:J18,"&lt;"&amp;0)+1)</f>
        <v>#REF!</v>
      </c>
    </row>
    <row r="22" spans="1:11" x14ac:dyDescent="0.25">
      <c r="A22" s="43" t="s">
        <v>43</v>
      </c>
      <c r="B22" s="38">
        <f>B21*2</f>
        <v>17980000</v>
      </c>
      <c r="C22" s="27" t="s">
        <v>28</v>
      </c>
      <c r="D22" s="39" t="s">
        <v>44</v>
      </c>
      <c r="E22" s="1"/>
      <c r="F22" s="1"/>
      <c r="G22" s="1"/>
      <c r="H22" s="1"/>
      <c r="I22" s="1"/>
      <c r="J22" s="1"/>
    </row>
    <row r="23" spans="1:11" x14ac:dyDescent="0.25">
      <c r="A23" s="43"/>
      <c r="B23" s="39"/>
      <c r="C23" s="27"/>
      <c r="D23" s="27"/>
      <c r="E23" s="1"/>
      <c r="F23" s="1"/>
      <c r="G23" s="1"/>
      <c r="H23" s="1"/>
      <c r="I23" s="1"/>
      <c r="J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</sheetData>
  <mergeCells count="6">
    <mergeCell ref="A22:A23"/>
    <mergeCell ref="A5:A6"/>
    <mergeCell ref="A11:A12"/>
    <mergeCell ref="A15:A16"/>
    <mergeCell ref="A17:A18"/>
    <mergeCell ref="A19:A20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4"/>
  <sheetViews>
    <sheetView topLeftCell="A3" workbookViewId="0">
      <selection activeCell="B21" sqref="B21"/>
    </sheetView>
  </sheetViews>
  <sheetFormatPr defaultRowHeight="15.75" x14ac:dyDescent="0.25"/>
  <cols>
    <col min="1" max="1" width="29.125" bestFit="1" customWidth="1"/>
    <col min="2" max="2" width="15.75" bestFit="1" customWidth="1"/>
    <col min="3" max="3" width="9.375" bestFit="1" customWidth="1"/>
    <col min="4" max="4" width="31.125" bestFit="1" customWidth="1"/>
    <col min="8" max="9" width="15.125" bestFit="1" customWidth="1"/>
    <col min="10" max="10" width="12.5" bestFit="1" customWidth="1"/>
  </cols>
  <sheetData>
    <row r="1" spans="1:11" ht="31.5" x14ac:dyDescent="0.25">
      <c r="A1" s="13" t="s">
        <v>45</v>
      </c>
      <c r="B1" s="13" t="s">
        <v>0</v>
      </c>
      <c r="C1" s="13" t="s">
        <v>1</v>
      </c>
      <c r="D1" s="13" t="s">
        <v>2</v>
      </c>
      <c r="E1" s="1"/>
      <c r="F1" s="1"/>
      <c r="G1" s="1"/>
      <c r="H1" s="1"/>
      <c r="I1" s="1"/>
      <c r="J1" s="1"/>
    </row>
    <row r="2" spans="1:11" x14ac:dyDescent="0.25">
      <c r="A2" s="4" t="s">
        <v>3</v>
      </c>
      <c r="B2" s="14">
        <f>B3/0.85</f>
        <v>29.411764705882355</v>
      </c>
      <c r="C2" s="4" t="s">
        <v>4</v>
      </c>
      <c r="D2" s="4" t="s">
        <v>5</v>
      </c>
      <c r="E2" s="1"/>
      <c r="F2" s="1"/>
      <c r="G2" s="1"/>
      <c r="H2" s="1"/>
      <c r="I2" s="1"/>
      <c r="J2" s="1"/>
    </row>
    <row r="3" spans="1:11" x14ac:dyDescent="0.25">
      <c r="A3" s="4" t="s">
        <v>6</v>
      </c>
      <c r="B3" s="4">
        <v>25</v>
      </c>
      <c r="C3" s="4" t="s">
        <v>4</v>
      </c>
      <c r="D3" s="4"/>
      <c r="E3" s="1"/>
      <c r="F3" s="1" t="s">
        <v>7</v>
      </c>
      <c r="G3" s="1">
        <v>400</v>
      </c>
      <c r="H3" s="1"/>
      <c r="I3" s="1"/>
      <c r="J3" s="1"/>
    </row>
    <row r="4" spans="1:11" x14ac:dyDescent="0.25">
      <c r="A4" s="4" t="s">
        <v>8</v>
      </c>
      <c r="B4" s="15">
        <v>2667</v>
      </c>
      <c r="C4" s="4" t="s">
        <v>9</v>
      </c>
      <c r="D4" s="4" t="s">
        <v>10</v>
      </c>
      <c r="E4" s="1"/>
      <c r="F4" s="1" t="s">
        <v>11</v>
      </c>
      <c r="G4" s="2">
        <v>0.05</v>
      </c>
      <c r="H4" s="1"/>
      <c r="I4" s="1"/>
      <c r="J4" s="1"/>
    </row>
    <row r="5" spans="1:11" x14ac:dyDescent="0.25">
      <c r="A5" s="44" t="s">
        <v>12</v>
      </c>
      <c r="B5" s="17">
        <f>B3*B4</f>
        <v>66675</v>
      </c>
      <c r="C5" s="4" t="s">
        <v>13</v>
      </c>
      <c r="D5" s="4"/>
      <c r="E5" s="1"/>
      <c r="F5" s="1"/>
      <c r="G5" s="1"/>
      <c r="H5" s="1"/>
      <c r="I5" s="1"/>
      <c r="J5" s="1"/>
    </row>
    <row r="6" spans="1:11" x14ac:dyDescent="0.25">
      <c r="A6" s="44"/>
      <c r="B6" s="17">
        <f>B5*3.6</f>
        <v>240030</v>
      </c>
      <c r="C6" s="4" t="s">
        <v>14</v>
      </c>
      <c r="D6" s="4"/>
      <c r="E6" s="1"/>
      <c r="F6" s="1"/>
      <c r="G6" s="1"/>
      <c r="H6" s="1"/>
      <c r="I6" s="1"/>
      <c r="J6" s="1"/>
    </row>
    <row r="7" spans="1:11" x14ac:dyDescent="0.25">
      <c r="A7" s="4" t="s">
        <v>16</v>
      </c>
      <c r="B7" s="15">
        <v>65</v>
      </c>
      <c r="C7" s="4" t="s">
        <v>17</v>
      </c>
      <c r="D7" s="4"/>
      <c r="E7" s="1"/>
      <c r="F7" s="1"/>
      <c r="G7" s="4"/>
      <c r="H7" s="4" t="s">
        <v>18</v>
      </c>
      <c r="I7" s="4" t="s">
        <v>19</v>
      </c>
      <c r="J7" s="4"/>
    </row>
    <row r="8" spans="1:11" x14ac:dyDescent="0.25">
      <c r="A8" s="4" t="s">
        <v>20</v>
      </c>
      <c r="B8" s="15">
        <v>95</v>
      </c>
      <c r="C8" s="4" t="s">
        <v>21</v>
      </c>
      <c r="D8" s="4" t="s">
        <v>22</v>
      </c>
      <c r="E8" s="1"/>
      <c r="F8" s="1"/>
      <c r="G8" s="4">
        <v>0</v>
      </c>
      <c r="H8" s="5">
        <f>(B21+B22)*-1</f>
        <v>-23200000</v>
      </c>
      <c r="I8" s="5">
        <f>H8/(1+$G$4)^G8</f>
        <v>-23200000</v>
      </c>
      <c r="J8" s="6">
        <f>I8</f>
        <v>-23200000</v>
      </c>
    </row>
    <row r="9" spans="1:11" x14ac:dyDescent="0.25">
      <c r="A9" s="4" t="s">
        <v>23</v>
      </c>
      <c r="B9" s="17">
        <f>B7+0.201*B8</f>
        <v>84.094999999999999</v>
      </c>
      <c r="C9" s="4" t="s">
        <v>17</v>
      </c>
      <c r="D9" s="4" t="s">
        <v>24</v>
      </c>
      <c r="E9" s="1"/>
      <c r="F9" s="1"/>
      <c r="G9" s="4">
        <v>1</v>
      </c>
      <c r="H9" s="5">
        <f t="shared" ref="H9:H18" si="0">$B$19</f>
        <v>3484596.7401960776</v>
      </c>
      <c r="I9" s="5">
        <f t="shared" ref="I9:I18" si="1">H9/(1+$G$4)^G9</f>
        <v>3318663.5620915024</v>
      </c>
      <c r="J9" s="6">
        <f>I9+J8</f>
        <v>-19881336.437908497</v>
      </c>
      <c r="K9" t="str">
        <f>IF(J9&lt;0, "-",ABS(J8/I9))</f>
        <v>-</v>
      </c>
    </row>
    <row r="10" spans="1:11" x14ac:dyDescent="0.25">
      <c r="A10" s="4" t="s">
        <v>25</v>
      </c>
      <c r="B10" s="17">
        <f>B5/0.9</f>
        <v>74083.333333333328</v>
      </c>
      <c r="C10" s="4" t="s">
        <v>13</v>
      </c>
      <c r="D10" s="4" t="s">
        <v>26</v>
      </c>
      <c r="E10" s="1"/>
      <c r="F10" s="1"/>
      <c r="G10" s="4">
        <v>2</v>
      </c>
      <c r="H10" s="5">
        <f t="shared" si="0"/>
        <v>3484596.7401960776</v>
      </c>
      <c r="I10" s="5">
        <f t="shared" si="1"/>
        <v>3160631.963896669</v>
      </c>
      <c r="J10" s="6">
        <f>I10+J9</f>
        <v>-16720704.474011827</v>
      </c>
      <c r="K10" t="str">
        <f t="shared" ref="K10:K18" si="2">IF(J10&lt;0, "-",ABS(J9/I10))</f>
        <v>-</v>
      </c>
    </row>
    <row r="11" spans="1:11" x14ac:dyDescent="0.25">
      <c r="A11" s="52" t="s">
        <v>27</v>
      </c>
      <c r="B11" s="17">
        <f>B10*B9</f>
        <v>6230037.916666666</v>
      </c>
      <c r="C11" s="4" t="s">
        <v>28</v>
      </c>
      <c r="D11" s="4"/>
      <c r="E11" s="1"/>
      <c r="F11" s="1"/>
      <c r="G11" s="4">
        <v>3</v>
      </c>
      <c r="H11" s="5">
        <f t="shared" si="0"/>
        <v>3484596.7401960776</v>
      </c>
      <c r="I11" s="5">
        <f t="shared" si="1"/>
        <v>3010125.6799015892</v>
      </c>
      <c r="J11" s="6">
        <f>I11+J10</f>
        <v>-13710578.794110239</v>
      </c>
      <c r="K11" t="str">
        <f t="shared" si="2"/>
        <v>-</v>
      </c>
    </row>
    <row r="12" spans="1:11" x14ac:dyDescent="0.25">
      <c r="A12" s="53"/>
      <c r="B12" s="17">
        <f>B11*G3</f>
        <v>2492015166.6666665</v>
      </c>
      <c r="C12" s="4" t="s">
        <v>29</v>
      </c>
      <c r="D12" s="4"/>
      <c r="E12" s="1"/>
      <c r="F12" s="1"/>
      <c r="G12" s="4">
        <v>4</v>
      </c>
      <c r="H12" s="5">
        <f t="shared" si="0"/>
        <v>3484596.7401960776</v>
      </c>
      <c r="I12" s="5">
        <f t="shared" si="1"/>
        <v>2866786.3618110376</v>
      </c>
      <c r="J12" s="6">
        <f>I12+J11</f>
        <v>-10843792.4322992</v>
      </c>
      <c r="K12" t="str">
        <f t="shared" si="2"/>
        <v>-</v>
      </c>
    </row>
    <row r="13" spans="1:11" x14ac:dyDescent="0.25">
      <c r="A13" s="4" t="s">
        <v>30</v>
      </c>
      <c r="B13" s="17">
        <f>B10*0.201</f>
        <v>14890.75</v>
      </c>
      <c r="C13" s="4" t="s">
        <v>31</v>
      </c>
      <c r="D13" s="4"/>
      <c r="E13" s="1"/>
      <c r="F13" s="1"/>
      <c r="G13" s="4">
        <v>5</v>
      </c>
      <c r="H13" s="5">
        <f t="shared" si="0"/>
        <v>3484596.7401960776</v>
      </c>
      <c r="I13" s="5">
        <f t="shared" si="1"/>
        <v>2730272.7255343213</v>
      </c>
      <c r="J13" s="6">
        <f t="shared" ref="J13:J18" si="3">I13+J12</f>
        <v>-8113519.7067648787</v>
      </c>
      <c r="K13" t="str">
        <f t="shared" si="2"/>
        <v>-</v>
      </c>
    </row>
    <row r="14" spans="1:11" x14ac:dyDescent="0.25">
      <c r="A14" s="4" t="s">
        <v>32</v>
      </c>
      <c r="B14" s="17">
        <f>B4*B2</f>
        <v>78441.176470588238</v>
      </c>
      <c r="C14" s="4" t="s">
        <v>13</v>
      </c>
      <c r="D14" s="4"/>
      <c r="E14" s="1"/>
      <c r="F14" s="1"/>
      <c r="G14" s="4">
        <v>6</v>
      </c>
      <c r="H14" s="5">
        <f t="shared" si="0"/>
        <v>3484596.7401960776</v>
      </c>
      <c r="I14" s="5">
        <f t="shared" si="1"/>
        <v>2600259.7386041158</v>
      </c>
      <c r="J14" s="6">
        <f t="shared" si="3"/>
        <v>-5513259.9681607634</v>
      </c>
      <c r="K14" t="str">
        <f t="shared" si="2"/>
        <v>-</v>
      </c>
    </row>
    <row r="15" spans="1:11" x14ac:dyDescent="0.25">
      <c r="A15" s="54" t="s">
        <v>33</v>
      </c>
      <c r="B15" s="19">
        <v>35</v>
      </c>
      <c r="C15" s="4" t="s">
        <v>17</v>
      </c>
      <c r="D15" s="4" t="s">
        <v>34</v>
      </c>
      <c r="E15" s="1"/>
      <c r="F15" s="1"/>
      <c r="G15" s="4">
        <v>7</v>
      </c>
      <c r="H15" s="5">
        <f t="shared" si="0"/>
        <v>3484596.7401960776</v>
      </c>
      <c r="I15" s="5">
        <f t="shared" si="1"/>
        <v>2476437.8462896338</v>
      </c>
      <c r="J15" s="6">
        <f t="shared" si="3"/>
        <v>-3036822.1218711296</v>
      </c>
      <c r="K15" t="str">
        <f t="shared" si="2"/>
        <v>-</v>
      </c>
    </row>
    <row r="16" spans="1:11" x14ac:dyDescent="0.25">
      <c r="A16" s="54"/>
      <c r="B16" s="20">
        <f>B15*G3/3.6</f>
        <v>3888.8888888888887</v>
      </c>
      <c r="C16" s="4" t="s">
        <v>35</v>
      </c>
      <c r="D16" s="4"/>
      <c r="E16" s="1"/>
      <c r="F16" s="1"/>
      <c r="G16" s="4">
        <v>8</v>
      </c>
      <c r="H16" s="5">
        <f t="shared" si="0"/>
        <v>3484596.7401960776</v>
      </c>
      <c r="I16" s="5">
        <f t="shared" si="1"/>
        <v>2358512.234561556</v>
      </c>
      <c r="J16" s="6">
        <f t="shared" si="3"/>
        <v>-678309.88730957359</v>
      </c>
      <c r="K16" t="str">
        <f t="shared" si="2"/>
        <v>-</v>
      </c>
    </row>
    <row r="17" spans="1:11" x14ac:dyDescent="0.25">
      <c r="A17" s="51" t="s">
        <v>36</v>
      </c>
      <c r="B17" s="21">
        <f>B15*B14</f>
        <v>2745441.1764705884</v>
      </c>
      <c r="C17" s="4" t="s">
        <v>28</v>
      </c>
      <c r="D17" s="4"/>
      <c r="E17" s="1"/>
      <c r="F17" s="1"/>
      <c r="G17" s="4">
        <v>9</v>
      </c>
      <c r="H17" s="5">
        <f t="shared" si="0"/>
        <v>3484596.7401960776</v>
      </c>
      <c r="I17" s="5">
        <f t="shared" si="1"/>
        <v>2246202.1281538629</v>
      </c>
      <c r="J17" s="6">
        <f t="shared" si="3"/>
        <v>1567892.2408442893</v>
      </c>
      <c r="K17">
        <f t="shared" si="2"/>
        <v>0.30198078739559897</v>
      </c>
    </row>
    <row r="18" spans="1:11" x14ac:dyDescent="0.25">
      <c r="A18" s="51"/>
      <c r="B18" s="17">
        <f>B17*G3</f>
        <v>1098176470.5882354</v>
      </c>
      <c r="C18" s="4" t="s">
        <v>29</v>
      </c>
      <c r="D18" s="4"/>
      <c r="E18" s="1"/>
      <c r="F18" s="1"/>
      <c r="G18" s="4">
        <v>10</v>
      </c>
      <c r="H18" s="5">
        <f t="shared" si="0"/>
        <v>3484596.7401960776</v>
      </c>
      <c r="I18" s="5">
        <f t="shared" si="1"/>
        <v>2139240.1220512982</v>
      </c>
      <c r="J18" s="6">
        <f t="shared" si="3"/>
        <v>3707132.3628955875</v>
      </c>
      <c r="K18">
        <f t="shared" si="2"/>
        <v>0.732920173234621</v>
      </c>
    </row>
    <row r="19" spans="1:11" x14ac:dyDescent="0.25">
      <c r="A19" s="55" t="s">
        <v>37</v>
      </c>
      <c r="B19" s="17">
        <f>B11-B17</f>
        <v>3484596.7401960776</v>
      </c>
      <c r="C19" s="4" t="s">
        <v>28</v>
      </c>
      <c r="D19" s="4"/>
      <c r="E19" s="1"/>
      <c r="F19" s="1"/>
      <c r="G19" s="7" t="s">
        <v>38</v>
      </c>
      <c r="H19" s="8">
        <f>IRR(H8:H18)</f>
        <v>8.1735455351773734E-2</v>
      </c>
      <c r="I19" s="9"/>
      <c r="J19" s="10"/>
    </row>
    <row r="20" spans="1:11" x14ac:dyDescent="0.25">
      <c r="A20" s="55"/>
      <c r="B20" s="17">
        <f>B19*G3</f>
        <v>1393838696.0784311</v>
      </c>
      <c r="C20" s="4" t="s">
        <v>29</v>
      </c>
      <c r="D20" s="4"/>
      <c r="E20" s="1"/>
      <c r="F20" s="1"/>
      <c r="G20" s="7" t="s">
        <v>39</v>
      </c>
      <c r="H20" s="8"/>
      <c r="I20" s="9">
        <f>SUM(I8:I18)</f>
        <v>3707132.3628955875</v>
      </c>
      <c r="J20" s="10"/>
    </row>
    <row r="21" spans="1:11" x14ac:dyDescent="0.25">
      <c r="A21" s="4" t="s">
        <v>40</v>
      </c>
      <c r="B21" s="17">
        <v>23200000</v>
      </c>
      <c r="C21" s="4" t="s">
        <v>28</v>
      </c>
      <c r="D21" s="4" t="s">
        <v>47</v>
      </c>
      <c r="E21" s="3">
        <f>B21/(B3*1000)</f>
        <v>928</v>
      </c>
      <c r="F21" s="1"/>
      <c r="G21" s="7" t="s">
        <v>42</v>
      </c>
      <c r="H21" s="11"/>
      <c r="I21" s="11"/>
      <c r="J21" s="25" cm="1">
        <f t="array" ref="J21">COUNTIF(J8:J18,"&lt;"&amp;0)+INDEX(K8:K18,COUNTIF(J8:J18,"&lt;"&amp;0)+1)</f>
        <v>9.3019807873955997</v>
      </c>
    </row>
    <row r="22" spans="1:11" x14ac:dyDescent="0.25">
      <c r="A22" s="51" t="s">
        <v>43</v>
      </c>
      <c r="B22" s="22"/>
      <c r="C22" s="4"/>
      <c r="D22" s="23"/>
      <c r="E22" s="1"/>
      <c r="F22" s="1"/>
      <c r="G22" s="1"/>
      <c r="H22" s="1"/>
      <c r="I22" s="1"/>
      <c r="J22" s="1"/>
    </row>
    <row r="23" spans="1:11" x14ac:dyDescent="0.25">
      <c r="A23" s="51"/>
      <c r="B23" s="24"/>
      <c r="C23" s="4"/>
      <c r="D23" s="4"/>
      <c r="E23" s="1"/>
      <c r="F23" s="1"/>
      <c r="G23" s="1"/>
      <c r="H23" s="1"/>
      <c r="I23" s="1"/>
      <c r="J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</sheetData>
  <mergeCells count="6">
    <mergeCell ref="A22:A23"/>
    <mergeCell ref="A5:A6"/>
    <mergeCell ref="A11:A12"/>
    <mergeCell ref="A15:A16"/>
    <mergeCell ref="A17:A18"/>
    <mergeCell ref="A19:A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5"/>
  <sheetViews>
    <sheetView tabSelected="1" workbookViewId="0">
      <selection activeCell="A16" sqref="A16:A17"/>
    </sheetView>
  </sheetViews>
  <sheetFormatPr defaultRowHeight="15.75" x14ac:dyDescent="0.25"/>
  <cols>
    <col min="1" max="1" width="29.125" bestFit="1" customWidth="1"/>
    <col min="2" max="2" width="15.75" bestFit="1" customWidth="1"/>
    <col min="3" max="3" width="12.5" customWidth="1"/>
    <col min="4" max="4" width="31.125" bestFit="1" customWidth="1"/>
    <col min="8" max="9" width="15.125" bestFit="1" customWidth="1"/>
    <col min="10" max="10" width="12.5" bestFit="1" customWidth="1"/>
  </cols>
  <sheetData>
    <row r="1" spans="1:11" x14ac:dyDescent="0.25">
      <c r="A1" s="26" t="s">
        <v>45</v>
      </c>
      <c r="B1" s="13" t="s">
        <v>0</v>
      </c>
      <c r="C1" s="13" t="s">
        <v>1</v>
      </c>
      <c r="D1" s="13" t="s">
        <v>2</v>
      </c>
      <c r="E1" s="1"/>
      <c r="F1" s="1"/>
      <c r="G1" s="1"/>
      <c r="H1" s="1"/>
      <c r="I1" s="1"/>
      <c r="J1" s="1"/>
    </row>
    <row r="2" spans="1:11" x14ac:dyDescent="0.25">
      <c r="A2" s="16" t="s">
        <v>56</v>
      </c>
      <c r="B2" s="14">
        <f>B4/B3</f>
        <v>2.2727272727272729</v>
      </c>
      <c r="C2" s="4" t="s">
        <v>4</v>
      </c>
      <c r="D2" s="4"/>
      <c r="E2" s="1"/>
      <c r="F2" s="1"/>
      <c r="G2" s="1"/>
      <c r="H2" s="1"/>
      <c r="I2" s="1"/>
      <c r="J2" s="1"/>
    </row>
    <row r="3" spans="1:11" x14ac:dyDescent="0.25">
      <c r="A3" s="16" t="s">
        <v>52</v>
      </c>
      <c r="B3" s="14">
        <v>5.5</v>
      </c>
      <c r="C3" s="4" t="s">
        <v>53</v>
      </c>
      <c r="D3" s="4"/>
      <c r="E3" s="1"/>
      <c r="F3" s="1"/>
      <c r="G3" s="1"/>
      <c r="H3" s="1"/>
      <c r="I3" s="1"/>
      <c r="J3" s="1"/>
    </row>
    <row r="4" spans="1:11" x14ac:dyDescent="0.25">
      <c r="A4" s="16" t="s">
        <v>57</v>
      </c>
      <c r="B4" s="4">
        <v>12.5</v>
      </c>
      <c r="C4" s="4" t="s">
        <v>4</v>
      </c>
      <c r="D4" s="4"/>
      <c r="E4" s="1"/>
      <c r="F4" s="1" t="s">
        <v>7</v>
      </c>
      <c r="G4" s="1">
        <v>400</v>
      </c>
      <c r="H4" s="1"/>
      <c r="I4" s="1"/>
      <c r="J4" s="1"/>
    </row>
    <row r="5" spans="1:11" x14ac:dyDescent="0.25">
      <c r="A5" s="16" t="s">
        <v>8</v>
      </c>
      <c r="B5" s="15">
        <v>4380</v>
      </c>
      <c r="C5" s="4" t="s">
        <v>9</v>
      </c>
      <c r="D5" s="4" t="s">
        <v>10</v>
      </c>
      <c r="E5" s="1"/>
      <c r="F5" s="1" t="s">
        <v>11</v>
      </c>
      <c r="G5" s="2">
        <v>0.05</v>
      </c>
      <c r="H5" s="1"/>
      <c r="I5" s="1"/>
      <c r="J5" s="1"/>
    </row>
    <row r="6" spans="1:11" x14ac:dyDescent="0.25">
      <c r="A6" s="44" t="s">
        <v>12</v>
      </c>
      <c r="B6" s="17">
        <f>B4*B5</f>
        <v>54750</v>
      </c>
      <c r="C6" s="4" t="s">
        <v>13</v>
      </c>
      <c r="D6" s="4"/>
      <c r="E6" s="1"/>
      <c r="F6" s="1"/>
      <c r="G6" s="1"/>
      <c r="H6" s="1"/>
      <c r="I6" s="1"/>
      <c r="J6" s="1"/>
    </row>
    <row r="7" spans="1:11" x14ac:dyDescent="0.25">
      <c r="A7" s="44"/>
      <c r="B7" s="17">
        <f>B6*3.6</f>
        <v>197100</v>
      </c>
      <c r="C7" s="4" t="s">
        <v>14</v>
      </c>
      <c r="D7" s="4"/>
      <c r="E7" s="1"/>
      <c r="F7" s="1"/>
      <c r="G7" s="1"/>
      <c r="H7" s="1"/>
      <c r="I7" s="1"/>
      <c r="J7" s="1"/>
    </row>
    <row r="8" spans="1:11" x14ac:dyDescent="0.25">
      <c r="A8" s="16" t="s">
        <v>48</v>
      </c>
      <c r="B8" s="15">
        <v>65</v>
      </c>
      <c r="C8" s="4" t="s">
        <v>17</v>
      </c>
      <c r="D8" s="4"/>
      <c r="E8" s="1"/>
      <c r="F8" s="1"/>
      <c r="G8" s="4"/>
      <c r="H8" s="4" t="s">
        <v>18</v>
      </c>
      <c r="I8" s="4" t="s">
        <v>19</v>
      </c>
      <c r="J8" s="4"/>
    </row>
    <row r="9" spans="1:11" x14ac:dyDescent="0.25">
      <c r="A9" s="16" t="s">
        <v>20</v>
      </c>
      <c r="B9" s="15">
        <v>95</v>
      </c>
      <c r="C9" s="4" t="s">
        <v>21</v>
      </c>
      <c r="D9" s="4" t="s">
        <v>22</v>
      </c>
      <c r="E9" s="1"/>
      <c r="F9" s="1"/>
      <c r="G9" s="4">
        <v>0</v>
      </c>
      <c r="H9" s="5">
        <f>(B22+B23)*-1</f>
        <v>-31250000</v>
      </c>
      <c r="I9" s="5">
        <f>H9/(1+$G$5)^G9</f>
        <v>-31250000</v>
      </c>
      <c r="J9" s="6">
        <f>I9</f>
        <v>-31250000</v>
      </c>
    </row>
    <row r="10" spans="1:11" x14ac:dyDescent="0.25">
      <c r="A10" s="16" t="s">
        <v>23</v>
      </c>
      <c r="B10" s="17">
        <f>B8+0.201*B9</f>
        <v>84.094999999999999</v>
      </c>
      <c r="C10" s="4" t="s">
        <v>17</v>
      </c>
      <c r="D10" s="4" t="s">
        <v>24</v>
      </c>
      <c r="E10" s="1"/>
      <c r="F10" s="1"/>
      <c r="G10" s="4">
        <v>1</v>
      </c>
      <c r="H10" s="5">
        <f t="shared" ref="H10:H19" si="0">$B$20</f>
        <v>3622597.3484848477</v>
      </c>
      <c r="I10" s="5">
        <f t="shared" ref="I10:I19" si="1">H10/(1+$G$5)^G10</f>
        <v>3450092.7128427117</v>
      </c>
      <c r="J10" s="6">
        <f>I10+J9</f>
        <v>-27799907.28715729</v>
      </c>
      <c r="K10" t="str">
        <f>IF(J10&lt;0, "-",ABS(J9/I10))</f>
        <v>-</v>
      </c>
    </row>
    <row r="11" spans="1:11" x14ac:dyDescent="0.25">
      <c r="A11" s="16" t="s">
        <v>25</v>
      </c>
      <c r="B11" s="17">
        <f>B6/0.9</f>
        <v>60833.333333333328</v>
      </c>
      <c r="C11" s="4" t="s">
        <v>13</v>
      </c>
      <c r="D11" s="4" t="s">
        <v>26</v>
      </c>
      <c r="E11" s="1"/>
      <c r="F11" s="1"/>
      <c r="G11" s="4">
        <v>2</v>
      </c>
      <c r="H11" s="5">
        <f t="shared" si="0"/>
        <v>3622597.3484848477</v>
      </c>
      <c r="I11" s="5">
        <f t="shared" si="1"/>
        <v>3285802.5836597257</v>
      </c>
      <c r="J11" s="6">
        <f>I11+J10</f>
        <v>-24514104.703497563</v>
      </c>
      <c r="K11" t="str">
        <f t="shared" ref="K11:K19" si="2">IF(J11&lt;0, "-",ABS(J10/I11))</f>
        <v>-</v>
      </c>
    </row>
    <row r="12" spans="1:11" x14ac:dyDescent="0.25">
      <c r="A12" s="49" t="s">
        <v>27</v>
      </c>
      <c r="B12" s="17">
        <f>B11*B10</f>
        <v>5115779.166666666</v>
      </c>
      <c r="C12" s="4" t="s">
        <v>28</v>
      </c>
      <c r="D12" s="4"/>
      <c r="E12" s="1"/>
      <c r="F12" s="1"/>
      <c r="G12" s="4">
        <v>3</v>
      </c>
      <c r="H12" s="5">
        <f t="shared" si="0"/>
        <v>3622597.3484848477</v>
      </c>
      <c r="I12" s="5">
        <f t="shared" si="1"/>
        <v>3129335.7939616432</v>
      </c>
      <c r="J12" s="6">
        <f>I12+J11</f>
        <v>-21384768.909535918</v>
      </c>
      <c r="K12" t="str">
        <f t="shared" si="2"/>
        <v>-</v>
      </c>
    </row>
    <row r="13" spans="1:11" x14ac:dyDescent="0.25">
      <c r="A13" s="50"/>
      <c r="B13" s="17">
        <f>B12*G4</f>
        <v>2046311666.6666665</v>
      </c>
      <c r="C13" s="4" t="s">
        <v>29</v>
      </c>
      <c r="D13" s="4"/>
      <c r="E13" s="1"/>
      <c r="F13" s="1"/>
      <c r="G13" s="4">
        <v>4</v>
      </c>
      <c r="H13" s="5">
        <f t="shared" si="0"/>
        <v>3622597.3484848477</v>
      </c>
      <c r="I13" s="5">
        <f t="shared" si="1"/>
        <v>2980319.8037729939</v>
      </c>
      <c r="J13" s="6">
        <f>I13+J12</f>
        <v>-18404449.105762925</v>
      </c>
      <c r="K13" t="str">
        <f t="shared" si="2"/>
        <v>-</v>
      </c>
    </row>
    <row r="14" spans="1:11" x14ac:dyDescent="0.25">
      <c r="A14" s="16" t="s">
        <v>30</v>
      </c>
      <c r="B14" s="17">
        <f>B11*0.201</f>
        <v>12227.5</v>
      </c>
      <c r="C14" s="4" t="s">
        <v>31</v>
      </c>
      <c r="D14" s="4"/>
      <c r="E14" s="1"/>
      <c r="F14" s="1"/>
      <c r="G14" s="4">
        <v>5</v>
      </c>
      <c r="H14" s="5">
        <f t="shared" si="0"/>
        <v>3622597.3484848477</v>
      </c>
      <c r="I14" s="5">
        <f t="shared" si="1"/>
        <v>2838399.8131171367</v>
      </c>
      <c r="J14" s="6">
        <f t="shared" ref="J14:J18" si="3">I14+J13</f>
        <v>-15566049.292645788</v>
      </c>
      <c r="K14" t="str">
        <f t="shared" si="2"/>
        <v>-</v>
      </c>
    </row>
    <row r="15" spans="1:11" x14ac:dyDescent="0.25">
      <c r="A15" s="16" t="s">
        <v>49</v>
      </c>
      <c r="B15" s="17">
        <f>B5*B2</f>
        <v>9954.5454545454559</v>
      </c>
      <c r="C15" s="4" t="s">
        <v>13</v>
      </c>
      <c r="D15" s="4"/>
      <c r="E15" s="1"/>
      <c r="F15" s="1"/>
      <c r="G15" s="4">
        <v>6</v>
      </c>
      <c r="H15" s="5">
        <f t="shared" si="0"/>
        <v>3622597.3484848477</v>
      </c>
      <c r="I15" s="5">
        <f t="shared" si="1"/>
        <v>2703237.9172544163</v>
      </c>
      <c r="J15" s="6">
        <f t="shared" si="3"/>
        <v>-12862811.375391372</v>
      </c>
      <c r="K15" t="str">
        <f t="shared" si="2"/>
        <v>-</v>
      </c>
    </row>
    <row r="16" spans="1:11" x14ac:dyDescent="0.25">
      <c r="A16" s="44" t="s">
        <v>50</v>
      </c>
      <c r="B16" s="19">
        <v>150</v>
      </c>
      <c r="C16" s="4" t="s">
        <v>17</v>
      </c>
      <c r="D16" s="4"/>
      <c r="E16" s="1"/>
      <c r="F16" s="1"/>
      <c r="G16" s="4">
        <v>7</v>
      </c>
      <c r="H16" s="5">
        <f t="shared" si="0"/>
        <v>3622597.3484848477</v>
      </c>
      <c r="I16" s="5">
        <f t="shared" si="1"/>
        <v>2574512.3021470625</v>
      </c>
      <c r="J16" s="6">
        <f t="shared" si="3"/>
        <v>-10288299.073244309</v>
      </c>
      <c r="K16" t="str">
        <f t="shared" si="2"/>
        <v>-</v>
      </c>
    </row>
    <row r="17" spans="1:11" x14ac:dyDescent="0.25">
      <c r="A17" s="44"/>
      <c r="B17" s="20">
        <f>B16*G4/3.6</f>
        <v>16666.666666666668</v>
      </c>
      <c r="C17" s="4" t="s">
        <v>35</v>
      </c>
      <c r="D17" s="4"/>
      <c r="E17" s="1"/>
      <c r="F17" s="1"/>
      <c r="G17" s="4">
        <v>8</v>
      </c>
      <c r="H17" s="5">
        <f t="shared" si="0"/>
        <v>3622597.3484848477</v>
      </c>
      <c r="I17" s="5">
        <f t="shared" si="1"/>
        <v>2451916.4782352983</v>
      </c>
      <c r="J17" s="6">
        <f t="shared" si="3"/>
        <v>-7836382.5950090103</v>
      </c>
      <c r="K17" t="str">
        <f t="shared" si="2"/>
        <v>-</v>
      </c>
    </row>
    <row r="18" spans="1:11" x14ac:dyDescent="0.25">
      <c r="A18" s="56" t="s">
        <v>51</v>
      </c>
      <c r="B18" s="21">
        <f>B16*B15</f>
        <v>1493181.8181818184</v>
      </c>
      <c r="C18" s="4" t="s">
        <v>28</v>
      </c>
      <c r="D18" s="4"/>
      <c r="E18" s="1"/>
      <c r="F18" s="1"/>
      <c r="G18" s="4">
        <v>9</v>
      </c>
      <c r="H18" s="5">
        <f t="shared" si="0"/>
        <v>3622597.3484848477</v>
      </c>
      <c r="I18" s="5">
        <f t="shared" si="1"/>
        <v>2335158.5507002836</v>
      </c>
      <c r="J18" s="6">
        <f t="shared" si="3"/>
        <v>-5501224.0443087267</v>
      </c>
      <c r="K18" t="str">
        <f t="shared" si="2"/>
        <v>-</v>
      </c>
    </row>
    <row r="19" spans="1:11" x14ac:dyDescent="0.25">
      <c r="A19" s="56"/>
      <c r="B19" s="17">
        <f>B18*G4</f>
        <v>597272727.27272737</v>
      </c>
      <c r="C19" s="4" t="s">
        <v>29</v>
      </c>
      <c r="D19" s="4"/>
      <c r="E19" s="1"/>
      <c r="F19" s="1"/>
      <c r="G19" s="4">
        <v>10</v>
      </c>
      <c r="H19" s="5">
        <f t="shared" si="0"/>
        <v>3622597.3484848477</v>
      </c>
      <c r="I19" s="5">
        <f t="shared" si="1"/>
        <v>2223960.5244764606</v>
      </c>
      <c r="J19" s="6">
        <f>I19+J18</f>
        <v>-3277263.519832266</v>
      </c>
      <c r="K19" t="str">
        <f t="shared" si="2"/>
        <v>-</v>
      </c>
    </row>
    <row r="20" spans="1:11" x14ac:dyDescent="0.25">
      <c r="A20" s="57" t="s">
        <v>37</v>
      </c>
      <c r="B20" s="17">
        <f>B12-B18</f>
        <v>3622597.3484848477</v>
      </c>
      <c r="C20" s="4" t="s">
        <v>28</v>
      </c>
      <c r="D20" s="4"/>
      <c r="E20" s="1"/>
      <c r="F20" s="1"/>
      <c r="G20" s="7" t="s">
        <v>38</v>
      </c>
      <c r="H20" s="8">
        <f>IRR(H9:H19)</f>
        <v>2.7808436600200936E-2</v>
      </c>
      <c r="I20" s="9"/>
      <c r="J20" s="10"/>
    </row>
    <row r="21" spans="1:11" x14ac:dyDescent="0.25">
      <c r="A21" s="57"/>
      <c r="B21" s="17">
        <f>B20*G4</f>
        <v>1449038939.393939</v>
      </c>
      <c r="C21" s="4" t="s">
        <v>29</v>
      </c>
      <c r="D21" s="4"/>
      <c r="E21" s="1"/>
      <c r="F21" s="1"/>
      <c r="G21" s="7" t="s">
        <v>39</v>
      </c>
      <c r="H21" s="8"/>
      <c r="I21" s="9">
        <f>SUM(I9:I19)</f>
        <v>-3277263.519832266</v>
      </c>
      <c r="J21" s="10"/>
    </row>
    <row r="22" spans="1:11" x14ac:dyDescent="0.25">
      <c r="A22" s="16" t="s">
        <v>40</v>
      </c>
      <c r="B22" s="17">
        <f>10500000000/G4</f>
        <v>26250000</v>
      </c>
      <c r="C22" s="4" t="s">
        <v>28</v>
      </c>
      <c r="D22" s="4" t="s">
        <v>55</v>
      </c>
      <c r="E22" s="3">
        <f>B22/(B4*1000)</f>
        <v>2100</v>
      </c>
      <c r="F22" s="1"/>
      <c r="G22" s="7" t="s">
        <v>42</v>
      </c>
      <c r="H22" s="11"/>
      <c r="I22" s="11"/>
      <c r="J22" s="25" t="e" cm="1">
        <f t="array" ref="J22">COUNTIF(J9:J19,"&lt;"&amp;0)+INDEX(K9:K19,COUNTIF(J9:J19,"&lt;"&amp;0)+1)</f>
        <v>#REF!</v>
      </c>
    </row>
    <row r="23" spans="1:11" x14ac:dyDescent="0.25">
      <c r="A23" s="56" t="s">
        <v>43</v>
      </c>
      <c r="B23" s="41">
        <v>5000000</v>
      </c>
      <c r="C23" s="42" t="s">
        <v>28</v>
      </c>
      <c r="D23" s="42" t="s">
        <v>54</v>
      </c>
      <c r="E23" s="1"/>
      <c r="F23" s="1"/>
      <c r="G23" s="1"/>
      <c r="H23" s="1"/>
      <c r="I23" s="1"/>
      <c r="J23" s="1"/>
    </row>
    <row r="24" spans="1:11" x14ac:dyDescent="0.25">
      <c r="A24" s="56"/>
      <c r="B24" s="24"/>
      <c r="C24" s="4"/>
      <c r="D24" s="4"/>
      <c r="E24" s="1"/>
      <c r="F24" s="1"/>
      <c r="G24" s="1"/>
      <c r="H24" s="1"/>
      <c r="I24" s="1"/>
      <c r="J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</sheetData>
  <mergeCells count="6">
    <mergeCell ref="A23:A24"/>
    <mergeCell ref="A6:A7"/>
    <mergeCell ref="A12:A13"/>
    <mergeCell ref="A16:A17"/>
    <mergeCell ref="A18:A19"/>
    <mergeCell ref="A20:A2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D771A3F2FAFF45AE411A768BE5EBA2" ma:contentTypeVersion="12" ma:contentTypeDescription="Create a new document." ma:contentTypeScope="" ma:versionID="76373aecde40d5dcc37403ae3ad9cd32">
  <xsd:schema xmlns:xsd="http://www.w3.org/2001/XMLSchema" xmlns:xs="http://www.w3.org/2001/XMLSchema" xmlns:p="http://schemas.microsoft.com/office/2006/metadata/properties" xmlns:ns3="e2713a15-451b-4502-b4d0-0015ea9027c7" targetNamespace="http://schemas.microsoft.com/office/2006/metadata/properties" ma:root="true" ma:fieldsID="baf81127276fc4f2aab53f77b5af2842" ns3:_="">
    <xsd:import namespace="e2713a15-451b-4502-b4d0-0015ea9027c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713a15-451b-4502-b4d0-0015ea9027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2713a15-451b-4502-b4d0-0015ea9027c7" xsi:nil="true"/>
  </documentManagement>
</p:properties>
</file>

<file path=customXml/itemProps1.xml><?xml version="1.0" encoding="utf-8"?>
<ds:datastoreItem xmlns:ds="http://schemas.openxmlformats.org/officeDocument/2006/customXml" ds:itemID="{202A246D-171F-4393-8831-2801F37B6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713a15-451b-4502-b4d0-0015ea9027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2084FE-4751-403D-B4D6-2951AA77B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F7D76F-B371-4D07-A149-17EBBC29658A}">
  <ds:schemaRefs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2713a15-451b-4502-b4d0-0015ea9027c7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Polytechnic 25 MW</vt:lpstr>
      <vt:lpstr>Polytechnic 20 MW</vt:lpstr>
      <vt:lpstr>KPA Unicon 25 MW</vt:lpstr>
      <vt:lpstr>DuroDakovic</vt:lpstr>
      <vt:lpstr>Hőszivattyú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Szücs Botond</dc:creator>
  <cp:lastModifiedBy>Botond Szücs</cp:lastModifiedBy>
  <dcterms:created xsi:type="dcterms:W3CDTF">2023-04-28T08:31:36Z</dcterms:created>
  <dcterms:modified xsi:type="dcterms:W3CDTF">2023-05-03T08:36:05Z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0x01010072D771A3F2FAFF45AE411A768BE5EBA2</vt:lpwstr>
  </property>
</Properties>
</file>